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eather\Documents\consulting\clean air alliance\"/>
    </mc:Choice>
  </mc:AlternateContent>
  <bookViews>
    <workbookView xWindow="-110" yWindow="-110" windowWidth="19420" windowHeight="10420" activeTab="1"/>
  </bookViews>
  <sheets>
    <sheet name="Introduction" sheetId="9" r:id="rId1"/>
    <sheet name="assumptions" sheetId="6" r:id="rId2"/>
    <sheet name="input data" sheetId="1" r:id="rId3"/>
    <sheet name="report tables" sheetId="14" r:id="rId4"/>
    <sheet name="outputs" sheetId="13" r:id="rId5"/>
    <sheet name="formulas for outputs" sheetId="5" r:id="rId6"/>
    <sheet name="formulas for supporting values" sheetId="2" r:id="rId7"/>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15" i="1" l="1"/>
  <c r="B12" i="1"/>
  <c r="B14" i="1"/>
  <c r="B11" i="1"/>
  <c r="E27" i="14" l="1"/>
  <c r="D9" i="13" l="1"/>
  <c r="B17" i="14" l="1"/>
  <c r="E30" i="14" l="1"/>
  <c r="E29" i="14"/>
  <c r="E26" i="14"/>
  <c r="D29" i="14"/>
  <c r="D30" i="14"/>
  <c r="D28" i="14"/>
  <c r="D26" i="14"/>
  <c r="D27" i="14"/>
  <c r="D25" i="14"/>
  <c r="C26" i="14"/>
  <c r="C29" i="14"/>
  <c r="B8" i="1" l="1"/>
  <c r="G60" i="13" l="1"/>
  <c r="G57" i="13"/>
  <c r="O96" i="2" l="1"/>
  <c r="L96" i="2"/>
  <c r="G96" i="2"/>
  <c r="D96" i="2"/>
  <c r="O95" i="2"/>
  <c r="L95" i="2"/>
  <c r="G95" i="2"/>
  <c r="D95" i="2"/>
  <c r="O94" i="2"/>
  <c r="L94" i="2"/>
  <c r="G94" i="2"/>
  <c r="D94" i="2"/>
  <c r="O93" i="2"/>
  <c r="L93" i="2"/>
  <c r="G93" i="2"/>
  <c r="D93" i="2"/>
  <c r="O92" i="2"/>
  <c r="L92" i="2"/>
  <c r="G92" i="2"/>
  <c r="D92" i="2"/>
  <c r="O91" i="2"/>
  <c r="L91" i="2"/>
  <c r="G91" i="2"/>
  <c r="D91" i="2"/>
  <c r="C50" i="13"/>
  <c r="C62" i="13" s="1"/>
  <c r="C49" i="13"/>
  <c r="C61" i="13" s="1"/>
  <c r="C48" i="13"/>
  <c r="C60" i="13" s="1"/>
  <c r="C47" i="13"/>
  <c r="C59" i="13" s="1"/>
  <c r="C46" i="13"/>
  <c r="C58" i="13" s="1"/>
  <c r="C45" i="13"/>
  <c r="C57" i="13" s="1"/>
  <c r="C25" i="13"/>
  <c r="F25" i="13" s="1"/>
  <c r="C24" i="13"/>
  <c r="C23" i="13"/>
  <c r="F23" i="13" s="1"/>
  <c r="C22" i="13"/>
  <c r="F22" i="13" s="1"/>
  <c r="C21" i="13"/>
  <c r="C20" i="13"/>
  <c r="F20" i="13" s="1"/>
  <c r="D37" i="13" l="1"/>
  <c r="C9" i="14" s="1"/>
  <c r="C64" i="14"/>
  <c r="P24" i="13"/>
  <c r="D38" i="13"/>
  <c r="C10" i="14" s="1"/>
  <c r="C65" i="14"/>
  <c r="D33" i="13"/>
  <c r="C5" i="14" s="1"/>
  <c r="C60" i="14"/>
  <c r="D34" i="13"/>
  <c r="C61" i="14"/>
  <c r="P21" i="13"/>
  <c r="D35" i="13"/>
  <c r="C7" i="14" s="1"/>
  <c r="C62" i="14"/>
  <c r="D36" i="13"/>
  <c r="C8" i="14" s="1"/>
  <c r="C63" i="14"/>
  <c r="F48" i="13"/>
  <c r="F50" i="13"/>
  <c r="F45" i="13"/>
  <c r="F47" i="13"/>
  <c r="K49" i="13"/>
  <c r="F49" i="13"/>
  <c r="K46" i="13"/>
  <c r="F46" i="13"/>
  <c r="C34" i="13"/>
  <c r="C35" i="13"/>
  <c r="F24" i="13"/>
  <c r="E64" i="14" s="1"/>
  <c r="E65" i="14"/>
  <c r="C33" i="13"/>
  <c r="C38" i="13"/>
  <c r="F21" i="13"/>
  <c r="E61" i="14" s="1"/>
  <c r="C37" i="13"/>
  <c r="E62" i="14"/>
  <c r="E45" i="13"/>
  <c r="E60" i="14"/>
  <c r="E48" i="13"/>
  <c r="E63" i="14"/>
  <c r="C36" i="13"/>
  <c r="C6" i="14" l="1"/>
  <c r="D59" i="13"/>
  <c r="E59" i="13" s="1"/>
  <c r="D60" i="13"/>
  <c r="D57" i="13"/>
  <c r="E57" i="13" s="1"/>
  <c r="D62" i="13"/>
  <c r="D61" i="13"/>
  <c r="N61" i="13" s="1"/>
  <c r="N46" i="13"/>
  <c r="D58" i="13"/>
  <c r="G33" i="13"/>
  <c r="G5" i="14" s="1"/>
  <c r="F35" i="13"/>
  <c r="E7" i="14" s="1"/>
  <c r="F34" i="13"/>
  <c r="G34" i="13"/>
  <c r="G35" i="13"/>
  <c r="G7" i="14" s="1"/>
  <c r="F33" i="13"/>
  <c r="E5" i="14" s="1"/>
  <c r="F38" i="13"/>
  <c r="E10" i="14" s="1"/>
  <c r="G38" i="13"/>
  <c r="G10" i="14" s="1"/>
  <c r="G37" i="13"/>
  <c r="G9" i="14" s="1"/>
  <c r="F37" i="13"/>
  <c r="E9" i="14" s="1"/>
  <c r="G36" i="13"/>
  <c r="G8" i="14" s="1"/>
  <c r="F36" i="13"/>
  <c r="E8" i="14" s="1"/>
  <c r="N49" i="13"/>
  <c r="C17" i="14" l="1"/>
  <c r="G6" i="14"/>
  <c r="E6" i="14"/>
  <c r="D17" i="14"/>
  <c r="E62" i="13"/>
  <c r="E60" i="13"/>
  <c r="M58" i="13"/>
  <c r="E58" i="13"/>
  <c r="M61" i="13"/>
  <c r="E61" i="13"/>
  <c r="J37" i="13"/>
  <c r="J34" i="13"/>
  <c r="N58" i="13"/>
  <c r="F59" i="13"/>
  <c r="K37" i="13" l="1"/>
  <c r="O37" i="13" s="1"/>
  <c r="C78" i="14"/>
  <c r="K34" i="13"/>
  <c r="L34" i="13" s="1"/>
  <c r="C75" i="14"/>
  <c r="F58" i="13"/>
  <c r="O61" i="13"/>
  <c r="F61" i="13"/>
  <c r="F62" i="13"/>
  <c r="L37" i="13" l="1"/>
  <c r="O34" i="13"/>
  <c r="C92" i="2"/>
  <c r="C95" i="2"/>
  <c r="K95" i="2"/>
  <c r="D78" i="14"/>
  <c r="P34" i="13"/>
  <c r="D75" i="14"/>
  <c r="P37" i="13"/>
  <c r="K92" i="2"/>
  <c r="O58" i="13"/>
  <c r="P61" i="13"/>
  <c r="F57" i="13"/>
  <c r="F60" i="13"/>
  <c r="P58" i="13"/>
  <c r="F69" i="2" l="1"/>
  <c r="B69" i="2"/>
  <c r="D32" i="2"/>
  <c r="F57" i="2" l="1"/>
  <c r="B57" i="2"/>
  <c r="O46" i="2"/>
  <c r="O45" i="2"/>
  <c r="O44" i="2"/>
  <c r="O43" i="2"/>
  <c r="O42" i="2"/>
  <c r="O41" i="2"/>
  <c r="O40" i="2"/>
  <c r="O39" i="2"/>
  <c r="O38" i="2"/>
  <c r="O37" i="2"/>
  <c r="O36" i="2"/>
  <c r="I42" i="2"/>
  <c r="I46" i="2"/>
  <c r="I45" i="2"/>
  <c r="I44" i="2"/>
  <c r="I43" i="2"/>
  <c r="I41" i="2"/>
  <c r="I40" i="2"/>
  <c r="I39" i="2"/>
  <c r="I38" i="2"/>
  <c r="I37" i="2"/>
  <c r="I36" i="2"/>
  <c r="D33" i="2"/>
  <c r="D34" i="2"/>
  <c r="D35" i="2"/>
  <c r="D36" i="2"/>
  <c r="D37" i="2"/>
  <c r="D38" i="2"/>
  <c r="D39" i="2"/>
  <c r="D40" i="2"/>
  <c r="D41" i="2"/>
  <c r="B35" i="1"/>
  <c r="B38" i="1"/>
  <c r="B33" i="1"/>
  <c r="J35" i="13" l="1"/>
  <c r="C76" i="14" s="1"/>
  <c r="C27" i="14"/>
  <c r="P22" i="13"/>
  <c r="T22" i="13" s="1"/>
  <c r="J38" i="13"/>
  <c r="C79" i="14" s="1"/>
  <c r="C30" i="14"/>
  <c r="P25" i="13"/>
  <c r="T25" i="13" s="1"/>
  <c r="K35" i="13"/>
  <c r="C93" i="2" s="1"/>
  <c r="E93" i="2" s="1"/>
  <c r="G49" i="13"/>
  <c r="G46" i="13"/>
  <c r="G47" i="13"/>
  <c r="G50" i="13"/>
  <c r="D50" i="13"/>
  <c r="D47" i="13"/>
  <c r="K47" i="13"/>
  <c r="M59" i="13"/>
  <c r="N47" i="13"/>
  <c r="N59" i="13"/>
  <c r="O59" i="13"/>
  <c r="P59" i="13"/>
  <c r="K50" i="13"/>
  <c r="N50" i="13"/>
  <c r="M62" i="13"/>
  <c r="N62" i="13"/>
  <c r="O62" i="13"/>
  <c r="P62" i="13"/>
  <c r="D46" i="13"/>
  <c r="D49" i="13"/>
  <c r="E92" i="2"/>
  <c r="E95" i="2"/>
  <c r="B10" i="1"/>
  <c r="B13" i="1"/>
  <c r="J69" i="2"/>
  <c r="C43" i="2"/>
  <c r="I48" i="2"/>
  <c r="D43" i="2"/>
  <c r="O48" i="2"/>
  <c r="B67" i="2"/>
  <c r="J67" i="2"/>
  <c r="F67" i="2"/>
  <c r="N48" i="2"/>
  <c r="H48" i="2"/>
  <c r="K38" i="13" l="1"/>
  <c r="O38" i="13" s="1"/>
  <c r="J36" i="13"/>
  <c r="C77" i="14" s="1"/>
  <c r="C28" i="14"/>
  <c r="P23" i="13"/>
  <c r="T23" i="13" s="1"/>
  <c r="J33" i="13"/>
  <c r="K33" i="13" s="1"/>
  <c r="C25" i="14"/>
  <c r="C31" i="14" s="1"/>
  <c r="P20" i="13"/>
  <c r="T20" i="13" s="1"/>
  <c r="H59" i="13"/>
  <c r="H58" i="13"/>
  <c r="H61" i="13"/>
  <c r="G59" i="13"/>
  <c r="G61" i="13"/>
  <c r="G62" i="13"/>
  <c r="H60" i="13"/>
  <c r="I60" i="13" s="1"/>
  <c r="H57" i="13"/>
  <c r="I57" i="13" s="1"/>
  <c r="G58" i="13"/>
  <c r="H62" i="13"/>
  <c r="L48" i="13"/>
  <c r="L10" i="13"/>
  <c r="Q60" i="13"/>
  <c r="K48" i="13"/>
  <c r="N48" i="13"/>
  <c r="M48" i="13"/>
  <c r="M60" i="13"/>
  <c r="N60" i="13"/>
  <c r="O60" i="13"/>
  <c r="P60" i="13"/>
  <c r="O46" i="13"/>
  <c r="H46" i="13"/>
  <c r="P46" i="13" s="1"/>
  <c r="L38" i="13"/>
  <c r="O49" i="13"/>
  <c r="H49" i="13"/>
  <c r="P49" i="13" s="1"/>
  <c r="O35" i="13"/>
  <c r="D76" i="14" s="1"/>
  <c r="L35" i="13"/>
  <c r="O50" i="13"/>
  <c r="H50" i="13"/>
  <c r="P50" i="13" s="1"/>
  <c r="O48" i="13"/>
  <c r="H48" i="13"/>
  <c r="L7" i="13"/>
  <c r="L45" i="13"/>
  <c r="Q57" i="13"/>
  <c r="K45" i="13"/>
  <c r="N45" i="13"/>
  <c r="M57" i="13"/>
  <c r="M45" i="13"/>
  <c r="N57" i="13"/>
  <c r="O57" i="13"/>
  <c r="P57" i="13"/>
  <c r="L47" i="13"/>
  <c r="E47" i="13"/>
  <c r="O47" i="13"/>
  <c r="H47" i="13"/>
  <c r="P47" i="13" s="1"/>
  <c r="L50" i="13"/>
  <c r="E50" i="13"/>
  <c r="O45" i="13"/>
  <c r="H45" i="13"/>
  <c r="L49" i="13"/>
  <c r="E49" i="13"/>
  <c r="L46" i="13"/>
  <c r="E46" i="13"/>
  <c r="M95" i="2"/>
  <c r="M92" i="2"/>
  <c r="B6" i="2"/>
  <c r="B5" i="2"/>
  <c r="B4" i="2"/>
  <c r="C96" i="2" l="1"/>
  <c r="E96" i="2" s="1"/>
  <c r="C74" i="14"/>
  <c r="K36" i="13"/>
  <c r="C94" i="2" s="1"/>
  <c r="E94" i="2" s="1"/>
  <c r="I59" i="13"/>
  <c r="K96" i="2"/>
  <c r="M96" i="2" s="1"/>
  <c r="D79" i="14"/>
  <c r="I62" i="13"/>
  <c r="I61" i="13"/>
  <c r="I58" i="13"/>
  <c r="P38" i="13"/>
  <c r="P35" i="13"/>
  <c r="K93" i="2"/>
  <c r="M93" i="2" s="1"/>
  <c r="M64" i="13"/>
  <c r="N52" i="13"/>
  <c r="N64" i="13"/>
  <c r="P45" i="13"/>
  <c r="I45" i="13"/>
  <c r="Q45" i="13" s="1"/>
  <c r="L52" i="13"/>
  <c r="O52" i="13"/>
  <c r="P64" i="13"/>
  <c r="P48" i="13"/>
  <c r="I48" i="13"/>
  <c r="Q48" i="13" s="1"/>
  <c r="R62" i="13"/>
  <c r="R57" i="13"/>
  <c r="R59" i="13"/>
  <c r="K52" i="13"/>
  <c r="M50" i="13"/>
  <c r="I50" i="13"/>
  <c r="Q50" i="13" s="1"/>
  <c r="Q59" i="13"/>
  <c r="O64" i="13"/>
  <c r="R60" i="13"/>
  <c r="Q62" i="13"/>
  <c r="M47" i="13"/>
  <c r="I47" i="13"/>
  <c r="Q47" i="13" s="1"/>
  <c r="R58" i="13"/>
  <c r="C91" i="2"/>
  <c r="E91" i="2" s="1"/>
  <c r="J40" i="13"/>
  <c r="R61" i="13"/>
  <c r="L36" i="13"/>
  <c r="O36" i="13"/>
  <c r="D77" i="14" s="1"/>
  <c r="Q58" i="13"/>
  <c r="Q61" i="13"/>
  <c r="M49" i="13"/>
  <c r="I49" i="13"/>
  <c r="Q49" i="13" s="1"/>
  <c r="M46" i="13"/>
  <c r="I46" i="13"/>
  <c r="Q46" i="13" s="1"/>
  <c r="F7" i="2"/>
  <c r="G7" i="2"/>
  <c r="D7" i="2"/>
  <c r="E7" i="2"/>
  <c r="C7" i="2"/>
  <c r="B14" i="2" s="1"/>
  <c r="C80" i="14" l="1"/>
  <c r="C11" i="14"/>
  <c r="F92" i="2"/>
  <c r="N92" i="2"/>
  <c r="P36" i="13"/>
  <c r="K94" i="2"/>
  <c r="M94" i="2" s="1"/>
  <c r="N94" i="2"/>
  <c r="P94" i="2" s="1"/>
  <c r="F94" i="2"/>
  <c r="H94" i="2" s="1"/>
  <c r="I94" i="2" s="1"/>
  <c r="N91" i="2"/>
  <c r="P91" i="2" s="1"/>
  <c r="F91" i="2"/>
  <c r="H91" i="2" s="1"/>
  <c r="I91" i="2" s="1"/>
  <c r="N96" i="2"/>
  <c r="F96" i="2"/>
  <c r="F93" i="2"/>
  <c r="N93" i="2"/>
  <c r="F95" i="2"/>
  <c r="N95" i="2"/>
  <c r="O33" i="13"/>
  <c r="L33" i="13"/>
  <c r="L40" i="13" s="1"/>
  <c r="K40" i="13"/>
  <c r="R64" i="13"/>
  <c r="P52" i="13"/>
  <c r="M52" i="13"/>
  <c r="Q52" i="13"/>
  <c r="Q64" i="13"/>
  <c r="B22" i="2"/>
  <c r="B42" i="1" s="1"/>
  <c r="E11" i="14" l="1"/>
  <c r="K91" i="2"/>
  <c r="M91" i="2" s="1"/>
  <c r="Q91" i="2" s="1"/>
  <c r="Q33" i="13" s="1"/>
  <c r="D74" i="14"/>
  <c r="Q94" i="2"/>
  <c r="Q36" i="13" s="1"/>
  <c r="J57" i="13"/>
  <c r="S57" i="13"/>
  <c r="S59" i="13"/>
  <c r="J59" i="13"/>
  <c r="S60" i="13"/>
  <c r="J60" i="13"/>
  <c r="P33" i="13"/>
  <c r="P40" i="13" s="1"/>
  <c r="O40" i="13"/>
  <c r="D80" i="14" s="1"/>
  <c r="S62" i="13"/>
  <c r="J62" i="13"/>
  <c r="M33" i="13"/>
  <c r="P93" i="2"/>
  <c r="Q93" i="2" s="1"/>
  <c r="H93" i="2"/>
  <c r="I93" i="2" s="1"/>
  <c r="M36" i="13"/>
  <c r="P96" i="2"/>
  <c r="Q96" i="2" s="1"/>
  <c r="H96" i="2"/>
  <c r="I96" i="2" s="1"/>
  <c r="H92" i="2"/>
  <c r="I92" i="2" s="1"/>
  <c r="P92" i="2"/>
  <c r="Q92" i="2" s="1"/>
  <c r="J61" i="13"/>
  <c r="S61" i="13"/>
  <c r="H95" i="2"/>
  <c r="I95" i="2" s="1"/>
  <c r="P95" i="2"/>
  <c r="Q95" i="2" s="1"/>
  <c r="J58" i="13"/>
  <c r="S58" i="13"/>
  <c r="D12" i="13"/>
  <c r="L12" i="13" s="1"/>
  <c r="D11" i="13"/>
  <c r="L11" i="13" s="1"/>
  <c r="L9" i="13"/>
  <c r="D8" i="13"/>
  <c r="L8" i="13" s="1"/>
  <c r="C12" i="13"/>
  <c r="C11" i="13"/>
  <c r="C9" i="13"/>
  <c r="C8" i="13"/>
  <c r="O7" i="13"/>
  <c r="C7" i="13"/>
  <c r="F7" i="13" s="1"/>
  <c r="O10" i="13"/>
  <c r="G11" i="13"/>
  <c r="O11" i="13" s="1"/>
  <c r="C10" i="13"/>
  <c r="F10" i="13" s="1"/>
  <c r="G8" i="13"/>
  <c r="O8" i="13" s="1"/>
  <c r="G9" i="13"/>
  <c r="O9" i="13" s="1"/>
  <c r="G12" i="13"/>
  <c r="O12" i="13" s="1"/>
  <c r="N38" i="13"/>
  <c r="R35" i="13"/>
  <c r="N37" i="13"/>
  <c r="N33" i="13"/>
  <c r="N34" i="13"/>
  <c r="N35" i="13"/>
  <c r="R38" i="13"/>
  <c r="N36" i="13"/>
  <c r="R37" i="13"/>
  <c r="R34" i="13"/>
  <c r="R36" i="13"/>
  <c r="F9" i="13" l="1"/>
  <c r="E9" i="13"/>
  <c r="R20" i="13" s="1"/>
  <c r="F11" i="13"/>
  <c r="E11" i="13"/>
  <c r="F8" i="13"/>
  <c r="E8" i="13"/>
  <c r="B16" i="14" s="1"/>
  <c r="B18" i="14" s="1"/>
  <c r="F12" i="13"/>
  <c r="E12" i="13"/>
  <c r="R23" i="13" s="1"/>
  <c r="G11" i="14"/>
  <c r="R33" i="13"/>
  <c r="R40" i="13" s="1"/>
  <c r="T62" i="13"/>
  <c r="K62" i="13"/>
  <c r="T60" i="13"/>
  <c r="K60" i="13"/>
  <c r="T59" i="13"/>
  <c r="K59" i="13"/>
  <c r="T57" i="13"/>
  <c r="K57" i="13"/>
  <c r="M38" i="13"/>
  <c r="Q38" i="13"/>
  <c r="Q35" i="13"/>
  <c r="M35" i="13"/>
  <c r="M34" i="13"/>
  <c r="Q34" i="13"/>
  <c r="M37" i="13"/>
  <c r="S64" i="13"/>
  <c r="T61" i="13"/>
  <c r="K61" i="13"/>
  <c r="T58" i="13"/>
  <c r="K58" i="13"/>
  <c r="Q37" i="13"/>
  <c r="N40" i="13"/>
  <c r="K10" i="13"/>
  <c r="E10" i="13"/>
  <c r="K9" i="13"/>
  <c r="L14" i="13"/>
  <c r="K8" i="13"/>
  <c r="K11" i="13"/>
  <c r="K7" i="13"/>
  <c r="E7" i="13"/>
  <c r="K12" i="13"/>
  <c r="O14" i="13"/>
  <c r="U58" i="13" l="1"/>
  <c r="D37" i="14" s="1"/>
  <c r="C37" i="14"/>
  <c r="U61" i="13"/>
  <c r="D40" i="14" s="1"/>
  <c r="C40" i="14"/>
  <c r="U62" i="13"/>
  <c r="D41" i="14" s="1"/>
  <c r="C41" i="14"/>
  <c r="U59" i="13"/>
  <c r="D38" i="14" s="1"/>
  <c r="C38" i="14"/>
  <c r="U60" i="13"/>
  <c r="D39" i="14" s="1"/>
  <c r="C39" i="14"/>
  <c r="U57" i="13"/>
  <c r="D36" i="14" s="1"/>
  <c r="C36" i="14"/>
  <c r="Q40" i="13"/>
  <c r="M40" i="13"/>
  <c r="T64" i="13"/>
  <c r="N12" i="13"/>
  <c r="H12" i="13"/>
  <c r="H11" i="13"/>
  <c r="I11" i="13" s="1"/>
  <c r="N11" i="13"/>
  <c r="N9" i="13"/>
  <c r="H9" i="13"/>
  <c r="I9" i="13" s="1"/>
  <c r="M9" i="13"/>
  <c r="E22" i="13"/>
  <c r="K14" i="13"/>
  <c r="N10" i="13"/>
  <c r="H10" i="13"/>
  <c r="I10" i="13" s="1"/>
  <c r="E25" i="13"/>
  <c r="M12" i="13"/>
  <c r="E23" i="13"/>
  <c r="M10" i="13"/>
  <c r="N7" i="13"/>
  <c r="H7" i="13"/>
  <c r="D20" i="13" s="1"/>
  <c r="E21" i="13"/>
  <c r="M8" i="13"/>
  <c r="R21" i="13" s="1"/>
  <c r="E24" i="13"/>
  <c r="M11" i="13"/>
  <c r="M7" i="13"/>
  <c r="S20" i="13" s="1"/>
  <c r="E20" i="13"/>
  <c r="N8" i="13"/>
  <c r="H8" i="13"/>
  <c r="I20" i="13" l="1"/>
  <c r="W20" i="13"/>
  <c r="S22" i="13"/>
  <c r="R22" i="13"/>
  <c r="S25" i="13"/>
  <c r="R25" i="13"/>
  <c r="S23" i="13"/>
  <c r="S24" i="13"/>
  <c r="R24" i="13"/>
  <c r="S21" i="13"/>
  <c r="U64" i="13"/>
  <c r="D42" i="14" s="1"/>
  <c r="C51" i="14"/>
  <c r="D8" i="14"/>
  <c r="D16" i="14"/>
  <c r="D18" i="14" s="1"/>
  <c r="D19" i="14" s="1"/>
  <c r="C16" i="14"/>
  <c r="C18" i="14" s="1"/>
  <c r="C19" i="14" s="1"/>
  <c r="C52" i="14"/>
  <c r="D9" i="14"/>
  <c r="C50" i="14"/>
  <c r="D7" i="14"/>
  <c r="T24" i="13"/>
  <c r="Q9" i="13"/>
  <c r="D50" i="14" s="1"/>
  <c r="I22" i="13"/>
  <c r="F62" i="14" s="1"/>
  <c r="M22" i="13"/>
  <c r="D62" i="14" s="1"/>
  <c r="E35" i="13"/>
  <c r="Q10" i="13"/>
  <c r="D51" i="14" s="1"/>
  <c r="M23" i="13"/>
  <c r="D63" i="14" s="1"/>
  <c r="E36" i="13"/>
  <c r="D21" i="13"/>
  <c r="P8" i="13"/>
  <c r="Q21" i="13" s="1"/>
  <c r="D24" i="13"/>
  <c r="P11" i="13"/>
  <c r="Q24" i="13" s="1"/>
  <c r="P7" i="13"/>
  <c r="Q20" i="13" s="1"/>
  <c r="I7" i="13"/>
  <c r="D23" i="13"/>
  <c r="P10" i="13"/>
  <c r="Q23" i="13" s="1"/>
  <c r="I8" i="13"/>
  <c r="D22" i="13"/>
  <c r="G20" i="13" s="1"/>
  <c r="P9" i="13"/>
  <c r="Q22" i="13" s="1"/>
  <c r="N14" i="13"/>
  <c r="I24" i="13"/>
  <c r="F64" i="14" s="1"/>
  <c r="Q11" i="13"/>
  <c r="D52" i="14" s="1"/>
  <c r="M24" i="13"/>
  <c r="D64" i="14" s="1"/>
  <c r="E37" i="13"/>
  <c r="I12" i="13"/>
  <c r="D25" i="13"/>
  <c r="G23" i="13" s="1"/>
  <c r="P12" i="13"/>
  <c r="Q25" i="13" s="1"/>
  <c r="M14" i="13"/>
  <c r="R27" i="13" l="1"/>
  <c r="I23" i="13"/>
  <c r="F63" i="14" s="1"/>
  <c r="W23" i="13"/>
  <c r="V25" i="13"/>
  <c r="S27" i="13"/>
  <c r="F8" i="14"/>
  <c r="H8" i="14"/>
  <c r="T21" i="13"/>
  <c r="U21" i="13" s="1"/>
  <c r="V21" i="13" s="1"/>
  <c r="C48" i="14"/>
  <c r="D5" i="14"/>
  <c r="D10" i="14"/>
  <c r="C53" i="14"/>
  <c r="H9" i="14"/>
  <c r="F9" i="14"/>
  <c r="F7" i="14"/>
  <c r="H7" i="14"/>
  <c r="C49" i="14"/>
  <c r="D6" i="14"/>
  <c r="P27" i="13"/>
  <c r="C66" i="14" s="1"/>
  <c r="Q27" i="13"/>
  <c r="Y20" i="13"/>
  <c r="Z20" i="13" s="1"/>
  <c r="Y24" i="13"/>
  <c r="Z24" i="13" s="1"/>
  <c r="U24" i="13"/>
  <c r="V24" i="13" s="1"/>
  <c r="Y21" i="13"/>
  <c r="Z21" i="13" s="1"/>
  <c r="Y22" i="13"/>
  <c r="Z22" i="13" s="1"/>
  <c r="U22" i="13"/>
  <c r="V22" i="13" s="1"/>
  <c r="AA23" i="13"/>
  <c r="AA24" i="13"/>
  <c r="W24" i="13"/>
  <c r="AE24" i="13" s="1"/>
  <c r="Y23" i="13"/>
  <c r="Z23" i="13" s="1"/>
  <c r="U23" i="13"/>
  <c r="V23" i="13" s="1"/>
  <c r="AA22" i="13"/>
  <c r="W22" i="13"/>
  <c r="Y25" i="13"/>
  <c r="Z25" i="13" s="1"/>
  <c r="U25" i="13"/>
  <c r="P14" i="13"/>
  <c r="K22" i="13"/>
  <c r="G22" i="13"/>
  <c r="H22" i="13" s="1"/>
  <c r="H23" i="13"/>
  <c r="K23" i="13"/>
  <c r="K24" i="13"/>
  <c r="G24" i="13"/>
  <c r="H24" i="13" s="1"/>
  <c r="E33" i="13"/>
  <c r="F60" i="14"/>
  <c r="Q7" i="13"/>
  <c r="D48" i="14" s="1"/>
  <c r="M20" i="13"/>
  <c r="D60" i="14" s="1"/>
  <c r="I21" i="13"/>
  <c r="F61" i="14" s="1"/>
  <c r="Q8" i="13"/>
  <c r="D49" i="14" s="1"/>
  <c r="M21" i="13"/>
  <c r="D61" i="14" s="1"/>
  <c r="E34" i="13"/>
  <c r="K25" i="13"/>
  <c r="G25" i="13"/>
  <c r="H25" i="13" s="1"/>
  <c r="K20" i="13"/>
  <c r="H20" i="13"/>
  <c r="Q12" i="13"/>
  <c r="D53" i="14" s="1"/>
  <c r="I25" i="13"/>
  <c r="F65" i="14" s="1"/>
  <c r="E38" i="13"/>
  <c r="M25" i="13"/>
  <c r="D65" i="14" s="1"/>
  <c r="G21" i="13"/>
  <c r="H21" i="13" s="1"/>
  <c r="K21" i="13"/>
  <c r="T27" i="13" l="1"/>
  <c r="E66" i="14" s="1"/>
  <c r="L25" i="13"/>
  <c r="F5" i="14"/>
  <c r="H5" i="14"/>
  <c r="L21" i="13"/>
  <c r="L23" i="13"/>
  <c r="L24" i="13"/>
  <c r="L20" i="13"/>
  <c r="L22" i="13"/>
  <c r="F10" i="14"/>
  <c r="H10" i="14"/>
  <c r="F6" i="14"/>
  <c r="H6" i="14"/>
  <c r="U20" i="13"/>
  <c r="AD21" i="13"/>
  <c r="AC21" i="13"/>
  <c r="AD24" i="13"/>
  <c r="AC24" i="13"/>
  <c r="AD23" i="13"/>
  <c r="AC23" i="13"/>
  <c r="AD25" i="13"/>
  <c r="AC25" i="13"/>
  <c r="AD22" i="13"/>
  <c r="AC22" i="13"/>
  <c r="AE23" i="13"/>
  <c r="AE22" i="13"/>
  <c r="AA20" i="13"/>
  <c r="Z27" i="13"/>
  <c r="Y27" i="13"/>
  <c r="AA21" i="13"/>
  <c r="W21" i="13"/>
  <c r="AE21" i="13" s="1"/>
  <c r="AA25" i="13"/>
  <c r="W25" i="13"/>
  <c r="Q14" i="13"/>
  <c r="V20" i="13" l="1"/>
  <c r="AD20" i="13" s="1"/>
  <c r="AE25" i="13"/>
  <c r="AC20" i="13"/>
  <c r="AC27" i="13" s="1"/>
  <c r="U27" i="13"/>
  <c r="D54" i="14"/>
  <c r="D11" i="14"/>
  <c r="R13" i="13"/>
  <c r="AA27" i="13"/>
  <c r="D66" i="14" s="1"/>
  <c r="W27" i="13"/>
  <c r="F66" i="14" s="1"/>
  <c r="AE20" i="13"/>
  <c r="AE27" i="13" s="1"/>
  <c r="V27" i="13" l="1"/>
  <c r="AD27" i="13"/>
  <c r="F11" i="14"/>
  <c r="H11" i="14"/>
</calcChain>
</file>

<file path=xl/sharedStrings.xml><?xml version="1.0" encoding="utf-8"?>
<sst xmlns="http://schemas.openxmlformats.org/spreadsheetml/2006/main" count="522" uniqueCount="341">
  <si>
    <t>number of elecrically heated attached homes</t>
  </si>
  <si>
    <t>average heat pump heating efficiency (sCOP)</t>
  </si>
  <si>
    <t>average heat pump cooling efficiency (SEER)</t>
  </si>
  <si>
    <t>number of electrically heated homes in Ontario</t>
  </si>
  <si>
    <t>heating and cooling efficiencies</t>
  </si>
  <si>
    <t>capital costs</t>
  </si>
  <si>
    <t>cold climate ASHP</t>
  </si>
  <si>
    <t>cold climate mini-split heat pump</t>
  </si>
  <si>
    <t>Study of potential for heat pumps to reduce energy costs and GHGe from electrically heated homes</t>
  </si>
  <si>
    <t>data</t>
  </si>
  <si>
    <t>value</t>
  </si>
  <si>
    <t>source</t>
  </si>
  <si>
    <t>notes</t>
  </si>
  <si>
    <t>average lifetime of equipment</t>
  </si>
  <si>
    <t>emission factor for electricity</t>
  </si>
  <si>
    <t>other</t>
  </si>
  <si>
    <t>Table 22 of NRCan CEUD for ON</t>
  </si>
  <si>
    <t>Table 23 of NRCan CEUD for ON</t>
  </si>
  <si>
    <t xml:space="preserve">number of electrically heated detached homes </t>
  </si>
  <si>
    <t>annual heating load in electrically heated homes</t>
  </si>
  <si>
    <t>annual cooling load in electrically heated homes</t>
  </si>
  <si>
    <t>Table 27 of NRCAn CEUD for ON</t>
  </si>
  <si>
    <t>Ontario cost of long term debt (%)</t>
  </si>
  <si>
    <t>https://budget.ontario.ca/2021/chapter-4.html#section-3</t>
  </si>
  <si>
    <t>electricity</t>
  </si>
  <si>
    <t>% of time</t>
  </si>
  <si>
    <t>off peak</t>
  </si>
  <si>
    <t>mid peak</t>
  </si>
  <si>
    <t>peak</t>
  </si>
  <si>
    <t>average</t>
  </si>
  <si>
    <t>electric furnace and baseboard efficiency (COP)</t>
  </si>
  <si>
    <t>cost/kWh</t>
  </si>
  <si>
    <t>cost of electricity/kWh including all costs/kWh</t>
  </si>
  <si>
    <t>average time of use cost/kWh</t>
  </si>
  <si>
    <t>distribution volume charge</t>
  </si>
  <si>
    <t>transmission connection charge</t>
  </si>
  <si>
    <t>transmission network charge</t>
  </si>
  <si>
    <t>rural rate protection charge</t>
  </si>
  <si>
    <t>IESO Wholesale market service rate</t>
  </si>
  <si>
    <t>line loss adjustment factor</t>
  </si>
  <si>
    <t>HST (13%)</t>
  </si>
  <si>
    <t>TOTAL COST/kWh</t>
  </si>
  <si>
    <t>HydroOne TOU prices for medium density residential Aug 2021</t>
  </si>
  <si>
    <t>https://www.hydroone.com/rates-and-billing#</t>
  </si>
  <si>
    <t>number of elecrically heated attached homes with central AC</t>
  </si>
  <si>
    <t>Tables 4 and 27 of NRCan CEUD for ON</t>
  </si>
  <si>
    <t>housing type</t>
  </si>
  <si>
    <t>attached homes</t>
  </si>
  <si>
    <t>detached homes</t>
  </si>
  <si>
    <t>unit conversion factors</t>
  </si>
  <si>
    <t>GJ/kWh</t>
  </si>
  <si>
    <t>https://energy-models.com/tools/how-convert-seer-eer-or-cop-kwton-hspf?page=1</t>
  </si>
  <si>
    <t>average heat pump cooling efficiency (sCOP)</t>
  </si>
  <si>
    <t>average central air conditioner efficiency (SEER)</t>
  </si>
  <si>
    <t>average central air conditioner efficiency (sCOP)</t>
  </si>
  <si>
    <t>average window air conditioner efficiency (EER)</t>
  </si>
  <si>
    <t>average window air conditioner efficiency (COP)</t>
  </si>
  <si>
    <t>ON total ($M)</t>
  </si>
  <si>
    <t>lifetime costs</t>
  </si>
  <si>
    <t>annual operational costs</t>
  </si>
  <si>
    <t>projected 2030 winter marginal emission factor (kg/kWh)</t>
  </si>
  <si>
    <t>projected 2030 summer marginal emission factor (kg/kWh)</t>
  </si>
  <si>
    <t>number of electrically heated detached homes with central AC</t>
  </si>
  <si>
    <t>heating system stock for detached home</t>
  </si>
  <si>
    <t>share</t>
  </si>
  <si>
    <t>efficiency</t>
  </si>
  <si>
    <t>heating oil</t>
  </si>
  <si>
    <t>mid eff NG</t>
  </si>
  <si>
    <t>high eff NG</t>
  </si>
  <si>
    <t>electric</t>
  </si>
  <si>
    <t>heat pump</t>
  </si>
  <si>
    <t>wood/electric (avg of 2)</t>
  </si>
  <si>
    <t>wood/oil (avg)</t>
  </si>
  <si>
    <t>NG/electric</t>
  </si>
  <si>
    <t>oil/electric</t>
  </si>
  <si>
    <t>average home energy need (100% efficiency)</t>
  </si>
  <si>
    <t>share* efficiency</t>
  </si>
  <si>
    <t>assumes all detahed homes have the same heating energy requirements, this value has been adjusted for heating system effificiency - see additional calculations</t>
  </si>
  <si>
    <t>total energy use for all attached homes (PJ)</t>
  </si>
  <si>
    <t xml:space="preserve">wood </t>
  </si>
  <si>
    <t>total energy use for all MURB units (PJ)</t>
  </si>
  <si>
    <t>total number of MURBS</t>
  </si>
  <si>
    <t>total number of attached homes</t>
  </si>
  <si>
    <t>total number of detached homes</t>
  </si>
  <si>
    <t>assumes all attahed homes have the same heating energy requirements, this value has been adjusted for heating system effificiency - see additional calculations</t>
  </si>
  <si>
    <t>grid impacts</t>
  </si>
  <si>
    <t>annual operating costs</t>
  </si>
  <si>
    <t>GHGe impacts</t>
  </si>
  <si>
    <t>2030 GHGe impact</t>
  </si>
  <si>
    <t>total heat load per electrically heated detached home</t>
  </si>
  <si>
    <t>total heat load per electrically heated attached home</t>
  </si>
  <si>
    <t>total heat load per electrically heated MURB unit</t>
  </si>
  <si>
    <t>total heating energy use for all detached homes (PJ)</t>
  </si>
  <si>
    <t>calculated from EER: COP = EER/3.413</t>
  </si>
  <si>
    <t>calculated from SEER: COP = (1.12*SEER -0.02*SEER*SEER)/3.413</t>
  </si>
  <si>
    <t>electricity cost/kWh</t>
  </si>
  <si>
    <t>heat load per dwelling unit</t>
  </si>
  <si>
    <t>cooling load per dwelling unit</t>
  </si>
  <si>
    <t>SEER and EER to COP conversions</t>
  </si>
  <si>
    <t>total central AC cooling energy use (PJ)</t>
  </si>
  <si>
    <t>total number of central AC units</t>
  </si>
  <si>
    <t>average central AC SEER</t>
  </si>
  <si>
    <t>average central AC COP</t>
  </si>
  <si>
    <t>cooling load per home</t>
  </si>
  <si>
    <t>total room AC cooling energy use (PJ)</t>
  </si>
  <si>
    <t>total number of room AC units</t>
  </si>
  <si>
    <t>average room AC EER</t>
  </si>
  <si>
    <t>% increase in residential kWh cost</t>
  </si>
  <si>
    <t>additional values</t>
  </si>
  <si>
    <t>total annual TWh demand in ON</t>
  </si>
  <si>
    <t>https://www.ieso.ca/en/corporate-ieso/media/year-end-data</t>
  </si>
  <si>
    <t>2020 value</t>
  </si>
  <si>
    <t>detached home</t>
  </si>
  <si>
    <t>no AC</t>
  </si>
  <si>
    <t>central AC</t>
  </si>
  <si>
    <t>room AC</t>
  </si>
  <si>
    <t>attached home</t>
  </si>
  <si>
    <t>heating load for single family homes/heating load for MURB</t>
  </si>
  <si>
    <t>Tables 6 and 14 of NRCan CEUD for ON adjusted according to the formulas for supporting data</t>
  </si>
  <si>
    <t>number of electrically heated homes with AC in Ontario</t>
  </si>
  <si>
    <t>number of electrically heated detached homes with no AC</t>
  </si>
  <si>
    <t>number of electrically heated attached homes with no AC</t>
  </si>
  <si>
    <t>per home</t>
  </si>
  <si>
    <t>for all electrically heated homes</t>
  </si>
  <si>
    <t>current electric heating ($/yr)</t>
  </si>
  <si>
    <t>current cooling ($/yr)</t>
  </si>
  <si>
    <t>HP heating ($/yr)</t>
  </si>
  <si>
    <t>HP cooling ($/yr)</t>
  </si>
  <si>
    <t>savings from switch to HP ($/yr)</t>
  </si>
  <si>
    <t>window AC</t>
  </si>
  <si>
    <t>HP upfront cost ($)</t>
  </si>
  <si>
    <t>lifetime HP operational cost ($)</t>
  </si>
  <si>
    <t>total current heating and cooling ($/yr)</t>
  </si>
  <si>
    <t>current kWh/yr for heating</t>
  </si>
  <si>
    <t>current kWh/yr for cooling</t>
  </si>
  <si>
    <t>current total kWh/yr</t>
  </si>
  <si>
    <t>kWh/yr for heating with HP</t>
  </si>
  <si>
    <t>kWh/yr for cooling with HP</t>
  </si>
  <si>
    <t>total kWh/yr with HP</t>
  </si>
  <si>
    <t>total kWh/yr avoided with HP</t>
  </si>
  <si>
    <t>current electric heating ($M/yr)</t>
  </si>
  <si>
    <t>current cooling ($M/yr)</t>
  </si>
  <si>
    <t>total heating and cooling ($M/yr)</t>
  </si>
  <si>
    <t>HP heating  ($M)</t>
  </si>
  <si>
    <t>HP cooling ($M)</t>
  </si>
  <si>
    <t>total HP heating/cooling ($M/yr)</t>
  </si>
  <si>
    <t>savings from switch to HP ($M/yr)</t>
  </si>
  <si>
    <t>current GWh/yr for heating</t>
  </si>
  <si>
    <t>current GWh/yr for cooling</t>
  </si>
  <si>
    <t>current total GWh/yr</t>
  </si>
  <si>
    <t>GWh/yr for heating with HP</t>
  </si>
  <si>
    <t>GWh/yr for cooling with HP</t>
  </si>
  <si>
    <t>total GWh/yr with HP</t>
  </si>
  <si>
    <t>total GWh/yr avoided with HP</t>
  </si>
  <si>
    <t>Assumptions</t>
  </si>
  <si>
    <t>assumption</t>
  </si>
  <si>
    <t>homes left over after those with AC are subtracted</t>
  </si>
  <si>
    <t>Hydro One TOU prices are used for all of Ontario</t>
  </si>
  <si>
    <t>capital costs include the installed cost of an ASHP or mini split and ducting if needed but does not include any additional electrical or other costs</t>
  </si>
  <si>
    <t>loan period in months</t>
  </si>
  <si>
    <t>annual savings from HP ($)</t>
  </si>
  <si>
    <t xml:space="preserve">ON total </t>
  </si>
  <si>
    <t>annual cost/kWh if loan split over all customers</t>
  </si>
  <si>
    <t>loan values</t>
  </si>
  <si>
    <t xml:space="preserve">average cooling load per home with central AC </t>
  </si>
  <si>
    <t xml:space="preserve">average cooling load per room AC  </t>
  </si>
  <si>
    <t>average central AC cooling load per detached home</t>
  </si>
  <si>
    <t>average cooling load per home</t>
  </si>
  <si>
    <t>total number of attached homes with central AC</t>
  </si>
  <si>
    <t>total number of detached homes with central AC</t>
  </si>
  <si>
    <t>total number of all homes with central AC</t>
  </si>
  <si>
    <t>average central AC cooling load per attached home</t>
  </si>
  <si>
    <t>average central AC cooling load per MURB unit</t>
  </si>
  <si>
    <t>total number of MURB units with central AC</t>
  </si>
  <si>
    <t>adjusted cooling load per detached home</t>
  </si>
  <si>
    <t>adjusted cooling load per attached home</t>
  </si>
  <si>
    <t>adjusted cooling load per MURB unit</t>
  </si>
  <si>
    <t xml:space="preserve">average cooling AC load per housing type </t>
  </si>
  <si>
    <t xml:space="preserve">GJ heating load use per electrically heated detached homes </t>
  </si>
  <si>
    <t>GJ heating load per elecrically heated attached homes</t>
  </si>
  <si>
    <t>GJ cooling load per electrically heated detached home with central AC</t>
  </si>
  <si>
    <t xml:space="preserve">GJ cooling load per room AC </t>
  </si>
  <si>
    <t>since only one value was given for all housing types, the values were adjusted to ensure the proportions of the cooling loads for each housing types match that of the heating loads for each housing type - see formulas for supporting values</t>
  </si>
  <si>
    <t xml:space="preserve">cooling energy loads are proportional to heating energy loads </t>
  </si>
  <si>
    <t>ON total (GWh)</t>
  </si>
  <si>
    <t>based on RMI study of electrification of heat pumps https://rmi.org/insight/the-economics-of-electrifying-buildings/</t>
  </si>
  <si>
    <t xml:space="preserve">This spreadsheet is designed to help the user understand the calculations made for the report on the potential for heat pumps to reduce energy costs and greenhouse gas emissions from Ontario's electrically heated homes.  Users also have the opportunity to change some of the assumptions and data points used and test the impacts on the outcomes. </t>
  </si>
  <si>
    <r>
      <t>The</t>
    </r>
    <r>
      <rPr>
        <b/>
        <sz val="11"/>
        <color theme="1"/>
        <rFont val="Calibri"/>
        <family val="2"/>
        <scheme val="minor"/>
      </rPr>
      <t xml:space="preserve"> input data</t>
    </r>
    <r>
      <rPr>
        <sz val="11"/>
        <color theme="1"/>
        <rFont val="Calibri"/>
        <family val="2"/>
        <scheme val="minor"/>
      </rPr>
      <t xml:space="preserve"> sheet is where the raw data used in the report is shown alongside the data sources and any comments on that data.  Users can change these values to test the impacts on the calculated outcomes.</t>
    </r>
  </si>
  <si>
    <r>
      <t xml:space="preserve">The </t>
    </r>
    <r>
      <rPr>
        <b/>
        <sz val="11"/>
        <color theme="1"/>
        <rFont val="Calibri"/>
        <family val="2"/>
        <scheme val="minor"/>
      </rPr>
      <t>outputs</t>
    </r>
    <r>
      <rPr>
        <sz val="11"/>
        <color theme="1"/>
        <rFont val="Calibri"/>
        <family val="2"/>
        <scheme val="minor"/>
      </rPr>
      <t xml:space="preserve"> sheet show the calculated values that are derived from the input data and are used for the report's analysis.  If a user changes the input data, the corresponding values in the outputs sheet will change.  The outputs sheet is not designed to be altered by the user. </t>
    </r>
  </si>
  <si>
    <r>
      <t xml:space="preserve">The </t>
    </r>
    <r>
      <rPr>
        <b/>
        <sz val="11"/>
        <color theme="1"/>
        <rFont val="Calibri"/>
        <family val="2"/>
        <scheme val="minor"/>
      </rPr>
      <t>assumptions</t>
    </r>
    <r>
      <rPr>
        <sz val="11"/>
        <color theme="1"/>
        <rFont val="Calibri"/>
        <family val="2"/>
        <scheme val="minor"/>
      </rPr>
      <t xml:space="preserve"> sheet lists the assumptions that were made in this analysis. </t>
    </r>
  </si>
  <si>
    <r>
      <t xml:space="preserve">The </t>
    </r>
    <r>
      <rPr>
        <b/>
        <sz val="11"/>
        <color theme="1"/>
        <rFont val="Calibri"/>
        <family val="2"/>
        <scheme val="minor"/>
      </rPr>
      <t>formulas for outputs</t>
    </r>
    <r>
      <rPr>
        <sz val="11"/>
        <color theme="1"/>
        <rFont val="Calibri"/>
        <family val="2"/>
        <scheme val="minor"/>
      </rPr>
      <t xml:space="preserve"> sheet shows how the values in the outputs sheet were calculated. </t>
    </r>
  </si>
  <si>
    <r>
      <t xml:space="preserve">Some additional calculations were required when the raw data available did not match with the input data and these are shown in the </t>
    </r>
    <r>
      <rPr>
        <b/>
        <sz val="11"/>
        <color theme="1"/>
        <rFont val="Calibri"/>
        <family val="2"/>
        <scheme val="minor"/>
      </rPr>
      <t>formulas for supporting values</t>
    </r>
    <r>
      <rPr>
        <sz val="11"/>
        <color theme="1"/>
        <rFont val="Calibri"/>
        <family val="2"/>
        <scheme val="minor"/>
      </rPr>
      <t xml:space="preserve"> sheet.  For example, most homes are charged for their electricity based on time of use pricing and the formula for calculating the time-averaged price is shown in this sheet. </t>
    </r>
  </si>
  <si>
    <t>winter 2021</t>
  </si>
  <si>
    <t>summer 2021</t>
  </si>
  <si>
    <t>winter 2030</t>
  </si>
  <si>
    <t>summer 2030</t>
  </si>
  <si>
    <t>the average annual borrowing rate for 2022</t>
  </si>
  <si>
    <t>payback period (yrs)</t>
  </si>
  <si>
    <t>Financial and GHG impacts</t>
  </si>
  <si>
    <t>MEF calculated from TOU MEF</t>
  </si>
  <si>
    <t xml:space="preserve">15-yr loan where the HP owner repays the principal only </t>
  </si>
  <si>
    <t>15-yr loan repaid by the HP owner</t>
  </si>
  <si>
    <t>15-yr loan where HP owners pay the principal and all electricity customers pay the interest</t>
  </si>
  <si>
    <t>it is assumed that payments are made monthly and that interest is compounded monthly</t>
  </si>
  <si>
    <t xml:space="preserve">loans terms use Ontario's avg annual borrowing rate and are assumed to be paid monthly with interest compounded monthly </t>
  </si>
  <si>
    <t>IESO values</t>
  </si>
  <si>
    <t>kWh avoided/yr by HP for heating</t>
  </si>
  <si>
    <t>kg GHGe avoided/yr by HP for heating</t>
  </si>
  <si>
    <t xml:space="preserve">current kWh/yr for cooling </t>
  </si>
  <si>
    <t>kWh avoided/yr by HP for cooling</t>
  </si>
  <si>
    <t>kg GHGe avoided/yr for HP for cooling</t>
  </si>
  <si>
    <t>total kg GHGe avoided/yr with HP</t>
  </si>
  <si>
    <t>GWh avoided/yr by HP for heating</t>
  </si>
  <si>
    <t>kt GHGe avoided/yr by HP for heating</t>
  </si>
  <si>
    <t xml:space="preserve">current GWh/yr for cooling </t>
  </si>
  <si>
    <t>kt GHGe avoided/yr for HP for cooling</t>
  </si>
  <si>
    <t>total kt GHGe avoided/yr with HP</t>
  </si>
  <si>
    <t>number of electrically heated detached homes have window AC</t>
  </si>
  <si>
    <t>number of electrically heated attached homes have window AC</t>
  </si>
  <si>
    <t>medium density residential</t>
  </si>
  <si>
    <t>levelized cost of energy savings ($/kWh)</t>
  </si>
  <si>
    <t>cold climate mini-split heat pump for single family homes with no ducts</t>
  </si>
  <si>
    <t>TOU electricity cost/kWh</t>
  </si>
  <si>
    <t>annual operational cost</t>
  </si>
  <si>
    <t>new/replacement AC for single family home</t>
  </si>
  <si>
    <t>incremental upfront cost over new/replacement AC ($)</t>
  </si>
  <si>
    <t>15-yr loan where all electricity customers pay the interest and principal</t>
  </si>
  <si>
    <t>interest rate</t>
  </si>
  <si>
    <t>NPV of loan</t>
  </si>
  <si>
    <t>incentive cost for ON ($M)</t>
  </si>
  <si>
    <t>energy generated (GWh)</t>
  </si>
  <si>
    <t>NPV of electricity</t>
  </si>
  <si>
    <t>LCOE</t>
  </si>
  <si>
    <t>total lifetime incremental cost ($)</t>
  </si>
  <si>
    <t>interest on loan for ON ($M)</t>
  </si>
  <si>
    <t>NPV of interest on loan</t>
  </si>
  <si>
    <t>$40 for filters for ccASHP, and filter cleaning for mini-splits</t>
  </si>
  <si>
    <t>annual cost/kWh if cost split over all customers</t>
  </si>
  <si>
    <t>lifetime operational cost of current system ($)</t>
  </si>
  <si>
    <t>total lifetime non-incremental cost ($)</t>
  </si>
  <si>
    <t>non-incremental payback period (yrs)</t>
  </si>
  <si>
    <t>non-incremental cost</t>
  </si>
  <si>
    <t>Financial impacts</t>
  </si>
  <si>
    <t>total HP heating/cooling + maintenance($/yr)</t>
  </si>
  <si>
    <t xml:space="preserve">cold climate mini split heat pump for single family home with no ducting </t>
  </si>
  <si>
    <t>annual interest payment on 15-yr loan ($M)</t>
  </si>
  <si>
    <t>GJ cooling load per electrically heated attached home with central AC</t>
  </si>
  <si>
    <t>based on a minimum HSPF performance of 10.5 in zone IV</t>
  </si>
  <si>
    <t>Levelized cost of energy savings</t>
  </si>
  <si>
    <t>typical minimum value for ccASHPs with HSPF of 10.5 or greater</t>
  </si>
  <si>
    <t>see report for data used here</t>
  </si>
  <si>
    <t>annual home payment on 15-yr loan for full cost ($)</t>
  </si>
  <si>
    <t>annual home payment on 15-yr loan for full cost if interest paid by utility ($)</t>
  </si>
  <si>
    <t>time-averaged seasonal value for 2030</t>
  </si>
  <si>
    <t>HP upfront cost ($M)</t>
  </si>
  <si>
    <t>lifetime HP operational cost ($M)</t>
  </si>
  <si>
    <t>lifetime operational cost of current system ($M)</t>
  </si>
  <si>
    <t>incremental upfront cost over new/replacement AC ($M)</t>
  </si>
  <si>
    <t>total lifetime incremental cost ($M)</t>
  </si>
  <si>
    <t>Ontario-wide incremental upfront cost over new/replacement AC ($)</t>
  </si>
  <si>
    <t>Ontario-wide non-incremental cost</t>
  </si>
  <si>
    <t xml:space="preserve">Ontario-wide costs </t>
  </si>
  <si>
    <t>total lifetime cost ($M)</t>
  </si>
  <si>
    <t>total lifetime non-incremental cost ($M)</t>
  </si>
  <si>
    <t>for the Government of Ontario</t>
  </si>
  <si>
    <t xml:space="preserve">for all electrically heated homes </t>
  </si>
  <si>
    <t>net lifetime savings from installing a HP</t>
  </si>
  <si>
    <t>net lifetime savings from installing a HP (non-incremental) ($)</t>
  </si>
  <si>
    <t>net lifetime savings from installing a HP ($M)</t>
  </si>
  <si>
    <t>net lifetime savings from installing HP- non-incremental ($M)</t>
  </si>
  <si>
    <t>net lifetime savings from installing a HP - incremental ($M)</t>
  </si>
  <si>
    <t>loan amount ($M)</t>
  </si>
  <si>
    <t>annual payment on 15-yr loan ($M)</t>
  </si>
  <si>
    <t>ON total (GWh or kt)</t>
  </si>
  <si>
    <t xml:space="preserve">This spreadsheet assumes that in buildings with multi-splits (detached and attached homes without central AC ), 70% of heating would come from the heat pump and the remainder from baseboard heaters.  </t>
  </si>
  <si>
    <t>% of heating load provided by heat pumps</t>
  </si>
  <si>
    <t>for ASHPs that use ducting</t>
  </si>
  <si>
    <t>for multi-split heat pumps without ducting</t>
  </si>
  <si>
    <t>% of homes with central AC that are likely to replace the AC</t>
  </si>
  <si>
    <t>% of homes with window AC that are likely to install central AC</t>
  </si>
  <si>
    <t>% of homes with no AC that are likely to install central AC</t>
  </si>
  <si>
    <t>loan amount: ($)</t>
  </si>
  <si>
    <t>Existing system</t>
  </si>
  <si>
    <t>High-Efficiency Heat Pump (zero interest loan)</t>
  </si>
  <si>
    <t>High-Efficiency Heat Pump (low interest loan)</t>
  </si>
  <si>
    <t>Annual electricity and maintenance costs</t>
  </si>
  <si>
    <t>Total annual cost</t>
  </si>
  <si>
    <t>NET ANNUAL UTILITY BILL SAVINGS</t>
  </si>
  <si>
    <t>kg GHG avoided/yr/home</t>
  </si>
  <si>
    <t>kt GHG avoided/yr for all homes</t>
  </si>
  <si>
    <t>Detached homes</t>
  </si>
  <si>
    <t>No AC</t>
  </si>
  <si>
    <t>Central AC</t>
  </si>
  <si>
    <t>Window AC</t>
  </si>
  <si>
    <t>Attached homes</t>
  </si>
  <si>
    <t>ON total</t>
  </si>
  <si>
    <t>Per home ($/yr)</t>
  </si>
  <si>
    <t>For all electrically-heated homes ($M/yr)</t>
  </si>
  <si>
    <t>Current AC system</t>
  </si>
  <si>
    <t>Total upfront cost</t>
  </si>
  <si>
    <t>Payback (total cost)</t>
  </si>
  <si>
    <t>Incremental cost</t>
  </si>
  <si>
    <t>Payback (incremental)</t>
  </si>
  <si>
    <t>Ontario total ($ billion)</t>
  </si>
  <si>
    <t>Loan amount</t>
  </si>
  <si>
    <t>Annual  savings due to HP</t>
  </si>
  <si>
    <t xml:space="preserve">Annual low interest loan payments </t>
  </si>
  <si>
    <t xml:space="preserve">Net savings for low interest loans </t>
  </si>
  <si>
    <t xml:space="preserve">Annual zero interest loan payments </t>
  </si>
  <si>
    <t>Net savings for zero interest loans</t>
  </si>
  <si>
    <t>Loan amount ($ million)</t>
  </si>
  <si>
    <t>Annual interest amount ($ million)</t>
  </si>
  <si>
    <t>maintenance cost for a heat pump</t>
  </si>
  <si>
    <t>maintenance cost for an air conditioner</t>
  </si>
  <si>
    <t>for filters on central AC and installation on room AC</t>
  </si>
  <si>
    <t>number of homes</t>
  </si>
  <si>
    <t>heating load (GJ)</t>
  </si>
  <si>
    <t>cooling load (GJ)</t>
  </si>
  <si>
    <t>an average of 3 multi-split heads in a detached/attached home can provide 70% of an average home's heating</t>
  </si>
  <si>
    <t>detached and attached homes with room AC use two AC units on average</t>
  </si>
  <si>
    <t>total lifetime cost of current system only includes operational costs and maintenance costs</t>
  </si>
  <si>
    <t>Homes with central AC have ducting and all homes without central AC use baseboard heaters (Kai Millyard of Green Communities Canada estimates that that 1/3 of electrically-heated (non-MURB) homes have electric furnaces based on proprietary EnerGuide audit database – these were assumed to be homes with central AC)</t>
  </si>
  <si>
    <r>
      <t xml:space="preserve">The </t>
    </r>
    <r>
      <rPr>
        <b/>
        <sz val="11"/>
        <color theme="1"/>
        <rFont val="Calibri"/>
        <family val="2"/>
        <scheme val="minor"/>
      </rPr>
      <t>report tables</t>
    </r>
    <r>
      <rPr>
        <sz val="11"/>
        <color theme="1"/>
        <rFont val="Calibri"/>
        <family val="2"/>
        <scheme val="minor"/>
      </rPr>
      <t xml:space="preserve"> sheet shows the tables found in the accompanying report.  Any changes to the input data sheet will show up in these tables</t>
    </r>
  </si>
  <si>
    <t xml:space="preserve">Analysis of the potential for air source heat pumps to reduce energy costs and greenhouse gas emissions of Ontario's electrically heated homes. </t>
  </si>
  <si>
    <t>Annualized capital payments</t>
  </si>
  <si>
    <t>Table 1: Annual Net Financial savings for a detached home with heat pump installed in lieu of replacing its air conditioning system and assuming  loans are provided for the full cost of the heat pump</t>
  </si>
  <si>
    <t>Home depot top selling 10,000 BTU window AC https://www.homedepot.ca/product/lg-electronics-10-000-btu-115v-smart-wi-fi-window-air-conditioner-with-remote-energy-star-/1001037254</t>
  </si>
  <si>
    <t xml:space="preserve">replacment window AC </t>
  </si>
  <si>
    <t>incremental upfront and operational cost over new/replacement AC ($)</t>
  </si>
  <si>
    <t>lifetime operational cost of current system with new AC ($M)</t>
  </si>
  <si>
    <t>Table 1:  Annual homeowner net financial benefit from heat pumps assuming low and zero interest  financing</t>
  </si>
  <si>
    <t>Table 2: Ontario's electrically-heated housing stock and their heating and cooling loads</t>
  </si>
  <si>
    <t>Table 3: Projected 2030 greenhouse gas emissions impacts of shifting electrically-heated homes in Ontario to heat pumps</t>
  </si>
  <si>
    <t>Table 4: Annual Electricity Bill Savings for Ontario’s Electrically-Heated Homes Due To Installation of Air Source Heat Pumps</t>
  </si>
  <si>
    <t>Table 6: - see Table 1</t>
  </si>
  <si>
    <t>Table 7: Total loan amounts and  annual interest amounts for Government of Ontario loans to homeowners to install heat pumps in electrically-heated homes.</t>
  </si>
  <si>
    <t>Table 5: Total and incremental upfront cost and payback periods for installing heat pumps in Ontario's electrically-heated homes</t>
  </si>
  <si>
    <t>Tables 14 and 22 of NRCan CEUD for ON</t>
  </si>
  <si>
    <t>values from Tables 14 and 22 show that 78.8% of households have AC and Table 14 shows 87.3% of these are central AC therefore 68.8% of homes have central AC</t>
  </si>
  <si>
    <t>values from Tables 14 and 22 show that 78.8% of households have AC and Table 14 shows 12.7% of these are window AC therefore 10.0% of homes have window AC</t>
  </si>
  <si>
    <t>electrically heated homes have AC at the same rate as all other Ontario homes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</si>
</sst>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6" formatCode="&quot;$&quot;#,##0;[Red]\-&quot;$&quot;#,##0"/>
    <numFmt numFmtId="8" formatCode="&quot;$&quot;#,##0.00;[Red]\-&quot;$&quot;#,##0.00"/>
    <numFmt numFmtId="44" formatCode="_-&quot;$&quot;* #,##0.00_-;\-&quot;$&quot;* #,##0.00_-;_-&quot;$&quot;* &quot;-&quot;??_-;_-@_-"/>
    <numFmt numFmtId="164" formatCode="0.000000"/>
    <numFmt numFmtId="165" formatCode="0.000"/>
    <numFmt numFmtId="166" formatCode="0.0"/>
    <numFmt numFmtId="167" formatCode="0.00000"/>
    <numFmt numFmtId="168" formatCode="&quot;$&quot;#,##0.00"/>
    <numFmt numFmtId="169" formatCode="&quot;$&quot;#,##0.0"/>
    <numFmt numFmtId="170" formatCode="&quot;$&quot;#,##0"/>
    <numFmt numFmtId="171" formatCode="&quot;$&quot;#,##0.000;[Red]\-&quot;$&quot;#,##0.000"/>
    <numFmt numFmtId="172" formatCode="&quot;$&quot;#,##0.00000"/>
  </numFmts>
  <fonts count="16" x14ac:knownFonts="1">
    <font>
      <sz val="11"/>
      <color theme="1"/>
      <name val="Calibri"/>
      <family val="2"/>
      <scheme val="minor"/>
    </font>
    <font>
      <sz val="11"/>
      <color theme="1"/>
      <name val="Calibri"/>
      <family val="2"/>
      <scheme val="minor"/>
    </font>
    <font>
      <b/>
      <sz val="11"/>
      <color theme="1"/>
      <name val="Calibri"/>
      <family val="2"/>
      <scheme val="minor"/>
    </font>
    <font>
      <sz val="14"/>
      <color theme="1"/>
      <name val="Calibri"/>
      <family val="2"/>
      <scheme val="minor"/>
    </font>
    <font>
      <b/>
      <sz val="11"/>
      <name val="Calibri"/>
      <family val="2"/>
      <scheme val="minor"/>
    </font>
    <font>
      <sz val="16"/>
      <color theme="1"/>
      <name val="Calibri"/>
      <family val="2"/>
      <scheme val="minor"/>
    </font>
    <font>
      <b/>
      <sz val="16"/>
      <color theme="1"/>
      <name val="Calibri"/>
      <family val="2"/>
      <scheme val="minor"/>
    </font>
    <font>
      <b/>
      <sz val="14"/>
      <color theme="1"/>
      <name val="Calibri"/>
      <family val="2"/>
      <scheme val="minor"/>
    </font>
    <font>
      <b/>
      <sz val="20"/>
      <color theme="1"/>
      <name val="Calibri"/>
      <family val="2"/>
      <scheme val="minor"/>
    </font>
    <font>
      <u/>
      <sz val="11"/>
      <color theme="10"/>
      <name val="Calibri"/>
      <family val="2"/>
      <scheme val="minor"/>
    </font>
    <font>
      <b/>
      <sz val="18"/>
      <color theme="5" tint="-0.249977111117893"/>
      <name val="Calibri"/>
      <family val="2"/>
      <scheme val="minor"/>
    </font>
    <font>
      <sz val="11"/>
      <name val="Calibri"/>
      <family val="2"/>
      <scheme val="minor"/>
    </font>
    <font>
      <sz val="12"/>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s>
  <fills count="10">
    <fill>
      <patternFill patternType="none"/>
    </fill>
    <fill>
      <patternFill patternType="gray125"/>
    </fill>
    <fill>
      <patternFill patternType="solid">
        <fgColor theme="7" tint="0.39997558519241921"/>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rgb="FFDBECD0"/>
        <bgColor indexed="64"/>
      </patternFill>
    </fill>
    <fill>
      <patternFill patternType="solid">
        <fgColor theme="9" tint="0.79998168889431442"/>
        <bgColor indexed="64"/>
      </patternFill>
    </fill>
    <fill>
      <patternFill patternType="solid">
        <fgColor theme="0"/>
        <bgColor indexed="64"/>
      </patternFill>
    </fill>
    <fill>
      <patternFill patternType="solid">
        <fgColor theme="9" tint="0.59999389629810485"/>
        <bgColor indexed="64"/>
      </patternFill>
    </fill>
  </fills>
  <borders count="5">
    <border>
      <left/>
      <right/>
      <top/>
      <bottom/>
      <diagonal/>
    </border>
    <border>
      <left style="thin">
        <color indexed="64"/>
      </left>
      <right/>
      <top/>
      <bottom/>
      <diagonal/>
    </border>
    <border>
      <left/>
      <right/>
      <top style="medium">
        <color rgb="FF93C573"/>
      </top>
      <bottom style="medium">
        <color rgb="FF93C573"/>
      </bottom>
      <diagonal/>
    </border>
    <border>
      <left/>
      <right/>
      <top/>
      <bottom style="medium">
        <color rgb="FF93C573"/>
      </bottom>
      <diagonal/>
    </border>
    <border>
      <left/>
      <right/>
      <top style="medium">
        <color rgb="FF93C573"/>
      </top>
      <bottom/>
      <diagonal/>
    </border>
  </borders>
  <cellStyleXfs count="4">
    <xf numFmtId="0" fontId="0" fillId="0" borderId="0"/>
    <xf numFmtId="9" fontId="1" fillId="0" borderId="0" applyFont="0" applyFill="0" applyBorder="0" applyAlignment="0" applyProtection="0"/>
    <xf numFmtId="44" fontId="1" fillId="0" borderId="0" applyFont="0" applyFill="0" applyBorder="0" applyAlignment="0" applyProtection="0"/>
    <xf numFmtId="0" fontId="9" fillId="0" borderId="0" applyNumberFormat="0" applyFill="0" applyBorder="0" applyAlignment="0" applyProtection="0"/>
  </cellStyleXfs>
  <cellXfs count="126">
    <xf numFmtId="0" fontId="0" fillId="0" borderId="0" xfId="0"/>
    <xf numFmtId="0" fontId="0" fillId="2" borderId="0" xfId="0" applyFill="1"/>
    <xf numFmtId="0" fontId="2" fillId="0" borderId="0" xfId="0" applyFont="1"/>
    <xf numFmtId="0" fontId="0" fillId="0" borderId="0" xfId="0" applyFill="1"/>
    <xf numFmtId="165" fontId="0" fillId="0" borderId="0" xfId="0" applyNumberFormat="1"/>
    <xf numFmtId="2" fontId="0" fillId="0" borderId="0" xfId="0" applyNumberFormat="1"/>
    <xf numFmtId="1" fontId="0" fillId="0" borderId="0" xfId="0" applyNumberFormat="1"/>
    <xf numFmtId="0" fontId="0" fillId="0" borderId="0" xfId="0" applyAlignment="1">
      <alignment wrapText="1"/>
    </xf>
    <xf numFmtId="0" fontId="0" fillId="0" borderId="1" xfId="0" applyBorder="1"/>
    <xf numFmtId="0" fontId="2" fillId="0" borderId="1" xfId="0" applyFont="1" applyBorder="1"/>
    <xf numFmtId="0" fontId="4" fillId="0" borderId="0" xfId="0" applyFont="1" applyFill="1"/>
    <xf numFmtId="0" fontId="4" fillId="0" borderId="1" xfId="0" applyFont="1" applyBorder="1"/>
    <xf numFmtId="0" fontId="4" fillId="0" borderId="0" xfId="0" applyFont="1"/>
    <xf numFmtId="0" fontId="0" fillId="0" borderId="0" xfId="0" applyBorder="1"/>
    <xf numFmtId="0" fontId="2" fillId="0" borderId="0" xfId="0" applyFont="1" applyBorder="1"/>
    <xf numFmtId="0" fontId="0" fillId="2" borderId="0" xfId="0" applyFill="1" applyBorder="1"/>
    <xf numFmtId="1" fontId="0" fillId="2" borderId="0" xfId="0" applyNumberFormat="1" applyFill="1"/>
    <xf numFmtId="0" fontId="2" fillId="0" borderId="0" xfId="0" applyFont="1" applyAlignment="1">
      <alignment wrapText="1"/>
    </xf>
    <xf numFmtId="0" fontId="3" fillId="2" borderId="0" xfId="0" applyFont="1" applyFill="1"/>
    <xf numFmtId="0" fontId="6" fillId="2" borderId="0" xfId="0" applyFont="1" applyFill="1"/>
    <xf numFmtId="0" fontId="0" fillId="0" borderId="0" xfId="0" applyFont="1" applyAlignment="1">
      <alignment wrapText="1"/>
    </xf>
    <xf numFmtId="0" fontId="7" fillId="0" borderId="0" xfId="0" applyFont="1"/>
    <xf numFmtId="0" fontId="8" fillId="0" borderId="0" xfId="0" applyFont="1"/>
    <xf numFmtId="0" fontId="6" fillId="0" borderId="0" xfId="0" applyFont="1" applyFill="1"/>
    <xf numFmtId="166" fontId="0" fillId="0" borderId="0" xfId="0" applyNumberFormat="1" applyFont="1" applyAlignment="1">
      <alignment wrapText="1"/>
    </xf>
    <xf numFmtId="1" fontId="2" fillId="0" borderId="0" xfId="0" applyNumberFormat="1" applyFont="1"/>
    <xf numFmtId="166" fontId="2" fillId="0" borderId="0" xfId="0" applyNumberFormat="1" applyFont="1"/>
    <xf numFmtId="1" fontId="0" fillId="0" borderId="0" xfId="0" applyNumberFormat="1" applyFont="1" applyAlignment="1">
      <alignment wrapText="1"/>
    </xf>
    <xf numFmtId="166" fontId="0" fillId="0" borderId="0" xfId="0" applyNumberFormat="1" applyAlignment="1">
      <alignment wrapText="1"/>
    </xf>
    <xf numFmtId="1" fontId="0" fillId="0" borderId="0" xfId="0" applyNumberFormat="1" applyAlignment="1">
      <alignment wrapText="1"/>
    </xf>
    <xf numFmtId="0" fontId="2" fillId="0" borderId="0" xfId="0" applyFont="1" applyFill="1" applyAlignment="1">
      <alignment wrapText="1"/>
    </xf>
    <xf numFmtId="1" fontId="0" fillId="0" borderId="0" xfId="0" applyNumberFormat="1" applyFill="1"/>
    <xf numFmtId="166" fontId="0" fillId="0" borderId="0" xfId="0" applyNumberFormat="1" applyFont="1" applyFill="1" applyAlignment="1">
      <alignment wrapText="1"/>
    </xf>
    <xf numFmtId="2" fontId="0" fillId="0" borderId="0" xfId="0" applyNumberFormat="1" applyFill="1"/>
    <xf numFmtId="0" fontId="5" fillId="3" borderId="0" xfId="0" applyFont="1" applyFill="1"/>
    <xf numFmtId="0" fontId="8" fillId="2" borderId="0" xfId="0" applyFont="1" applyFill="1"/>
    <xf numFmtId="1" fontId="2" fillId="0" borderId="0" xfId="0" applyNumberFormat="1" applyFont="1" applyFill="1" applyAlignment="1">
      <alignment wrapText="1"/>
    </xf>
    <xf numFmtId="166" fontId="0" fillId="0" borderId="0" xfId="2" applyNumberFormat="1" applyFont="1" applyFill="1"/>
    <xf numFmtId="10" fontId="0" fillId="0" borderId="0" xfId="1" applyNumberFormat="1" applyFont="1" applyFill="1"/>
    <xf numFmtId="164" fontId="0" fillId="0" borderId="0" xfId="0" applyNumberFormat="1" applyFill="1"/>
    <xf numFmtId="2" fontId="2" fillId="0" borderId="0" xfId="0" applyNumberFormat="1" applyFont="1" applyFill="1"/>
    <xf numFmtId="10" fontId="2" fillId="0" borderId="0" xfId="1" applyNumberFormat="1" applyFont="1"/>
    <xf numFmtId="0" fontId="5" fillId="0" borderId="0" xfId="0" applyFont="1" applyFill="1" applyAlignment="1"/>
    <xf numFmtId="0" fontId="0" fillId="0" borderId="0" xfId="0" applyFill="1" applyBorder="1"/>
    <xf numFmtId="0" fontId="0" fillId="0" borderId="0" xfId="0" applyFill="1" applyAlignment="1"/>
    <xf numFmtId="0" fontId="10" fillId="0" borderId="0" xfId="0" applyFont="1" applyAlignment="1">
      <alignment wrapText="1"/>
    </xf>
    <xf numFmtId="0" fontId="9" fillId="0" borderId="0" xfId="3" applyFill="1"/>
    <xf numFmtId="0" fontId="11" fillId="0" borderId="0" xfId="0" applyFont="1" applyFill="1"/>
    <xf numFmtId="0" fontId="6" fillId="2" borderId="0" xfId="0" applyFont="1" applyFill="1" applyAlignment="1"/>
    <xf numFmtId="8" fontId="2" fillId="0" borderId="0" xfId="0" applyNumberFormat="1" applyFont="1" applyAlignment="1">
      <alignment wrapText="1"/>
    </xf>
    <xf numFmtId="2" fontId="0" fillId="0" borderId="0" xfId="1" applyNumberFormat="1" applyFont="1" applyFill="1"/>
    <xf numFmtId="164" fontId="0" fillId="0" borderId="0" xfId="1" applyNumberFormat="1" applyFont="1" applyFill="1"/>
    <xf numFmtId="164" fontId="2" fillId="0" borderId="0" xfId="0" applyNumberFormat="1" applyFont="1"/>
    <xf numFmtId="10" fontId="0" fillId="0" borderId="0" xfId="0" applyNumberFormat="1"/>
    <xf numFmtId="0" fontId="2" fillId="0" borderId="0" xfId="0" applyFont="1" applyFill="1"/>
    <xf numFmtId="0" fontId="5" fillId="0" borderId="0" xfId="0" applyFont="1" applyFill="1" applyAlignment="1">
      <alignment horizontal="center"/>
    </xf>
    <xf numFmtId="166" fontId="0" fillId="0" borderId="0" xfId="0" applyNumberFormat="1"/>
    <xf numFmtId="165" fontId="0" fillId="0" borderId="0" xfId="0" applyNumberFormat="1" applyFill="1"/>
    <xf numFmtId="165" fontId="2" fillId="0" borderId="0" xfId="0" applyNumberFormat="1" applyFont="1" applyAlignment="1"/>
    <xf numFmtId="0" fontId="0" fillId="0" borderId="0" xfId="0" applyFill="1" applyAlignment="1">
      <alignment wrapText="1"/>
    </xf>
    <xf numFmtId="167" fontId="0" fillId="0" borderId="0" xfId="0" applyNumberFormat="1" applyFill="1"/>
    <xf numFmtId="0" fontId="3" fillId="0" borderId="0" xfId="0" applyFont="1" applyFill="1" applyAlignment="1">
      <alignment wrapText="1"/>
    </xf>
    <xf numFmtId="1" fontId="2" fillId="0" borderId="0" xfId="0" applyNumberFormat="1" applyFont="1" applyAlignment="1">
      <alignment wrapText="1"/>
    </xf>
    <xf numFmtId="1" fontId="0" fillId="0" borderId="0" xfId="0" applyNumberFormat="1" applyFont="1" applyFill="1" applyAlignment="1">
      <alignment wrapText="1"/>
    </xf>
    <xf numFmtId="1" fontId="0" fillId="0" borderId="0" xfId="0" applyNumberFormat="1" applyFill="1" applyAlignment="1">
      <alignment wrapText="1"/>
    </xf>
    <xf numFmtId="166" fontId="0" fillId="0" borderId="0" xfId="0" applyNumberFormat="1" applyFill="1" applyAlignment="1">
      <alignment wrapText="1"/>
    </xf>
    <xf numFmtId="9" fontId="0" fillId="0" borderId="0" xfId="0" applyNumberFormat="1" applyFill="1"/>
    <xf numFmtId="2" fontId="2" fillId="0" borderId="0" xfId="0" applyNumberFormat="1" applyFont="1" applyAlignment="1">
      <alignment wrapText="1"/>
    </xf>
    <xf numFmtId="166" fontId="2" fillId="0" borderId="0" xfId="0" applyNumberFormat="1" applyFont="1" applyFill="1" applyAlignment="1">
      <alignment wrapText="1"/>
    </xf>
    <xf numFmtId="0" fontId="14" fillId="0" borderId="2" xfId="0" applyFont="1" applyBorder="1" applyAlignment="1">
      <alignment vertical="center" wrapText="1"/>
    </xf>
    <xf numFmtId="0" fontId="14" fillId="6" borderId="2" xfId="0" applyFont="1" applyFill="1" applyBorder="1" applyAlignment="1">
      <alignment vertical="center" wrapText="1"/>
    </xf>
    <xf numFmtId="0" fontId="14" fillId="0" borderId="3" xfId="0" applyFont="1" applyBorder="1" applyAlignment="1">
      <alignment vertical="center" wrapText="1"/>
    </xf>
    <xf numFmtId="6" fontId="13" fillId="6" borderId="3" xfId="0" applyNumberFormat="1" applyFont="1" applyFill="1" applyBorder="1" applyAlignment="1">
      <alignment vertical="center" wrapText="1"/>
    </xf>
    <xf numFmtId="6" fontId="13" fillId="0" borderId="3" xfId="0" applyNumberFormat="1" applyFont="1" applyBorder="1" applyAlignment="1">
      <alignment vertical="center" wrapText="1"/>
    </xf>
    <xf numFmtId="0" fontId="13" fillId="6" borderId="3" xfId="0" applyFont="1" applyFill="1" applyBorder="1" applyAlignment="1">
      <alignment vertical="center" wrapText="1"/>
    </xf>
    <xf numFmtId="6" fontId="14" fillId="0" borderId="3" xfId="0" applyNumberFormat="1" applyFont="1" applyBorder="1" applyAlignment="1">
      <alignment vertical="center" wrapText="1"/>
    </xf>
    <xf numFmtId="0" fontId="13" fillId="0" borderId="0" xfId="0" applyFont="1" applyAlignment="1">
      <alignment vertical="center"/>
    </xf>
    <xf numFmtId="0" fontId="14" fillId="0" borderId="0" xfId="0" applyFont="1"/>
    <xf numFmtId="0" fontId="0" fillId="0" borderId="0" xfId="0" applyFont="1"/>
    <xf numFmtId="6" fontId="13" fillId="7" borderId="3" xfId="0" applyNumberFormat="1" applyFont="1" applyFill="1" applyBorder="1" applyAlignment="1">
      <alignment vertical="center" wrapText="1"/>
    </xf>
    <xf numFmtId="6" fontId="14" fillId="7" borderId="3" xfId="0" applyNumberFormat="1" applyFont="1" applyFill="1" applyBorder="1" applyAlignment="1">
      <alignment vertical="center" wrapText="1"/>
    </xf>
    <xf numFmtId="0" fontId="14" fillId="0" borderId="2" xfId="0" applyFont="1" applyBorder="1" applyAlignment="1">
      <alignment vertical="center"/>
    </xf>
    <xf numFmtId="0" fontId="14" fillId="6" borderId="3" xfId="0" applyFont="1" applyFill="1" applyBorder="1" applyAlignment="1">
      <alignment vertical="center" wrapText="1"/>
    </xf>
    <xf numFmtId="0" fontId="14" fillId="0" borderId="3" xfId="0" applyFont="1" applyBorder="1" applyAlignment="1">
      <alignment vertical="center" wrapText="1"/>
    </xf>
    <xf numFmtId="1" fontId="13" fillId="0" borderId="3" xfId="0" applyNumberFormat="1" applyFont="1" applyBorder="1" applyAlignment="1">
      <alignment vertical="center" wrapText="1"/>
    </xf>
    <xf numFmtId="166" fontId="13" fillId="6" borderId="3" xfId="0" applyNumberFormat="1" applyFont="1" applyFill="1" applyBorder="1" applyAlignment="1">
      <alignment vertical="center" wrapText="1"/>
    </xf>
    <xf numFmtId="166" fontId="14" fillId="6" borderId="3" xfId="0" applyNumberFormat="1" applyFont="1" applyFill="1" applyBorder="1" applyAlignment="1">
      <alignment vertical="center" wrapText="1"/>
    </xf>
    <xf numFmtId="168" fontId="13" fillId="6" borderId="3" xfId="2" applyNumberFormat="1" applyFont="1" applyFill="1" applyBorder="1" applyAlignment="1">
      <alignment horizontal="right" vertical="center" wrapText="1"/>
    </xf>
    <xf numFmtId="168" fontId="13" fillId="6" borderId="3" xfId="2" applyNumberFormat="1" applyFont="1" applyFill="1" applyBorder="1" applyAlignment="1">
      <alignment horizontal="right" vertical="center" wrapText="1" indent="1"/>
    </xf>
    <xf numFmtId="168" fontId="14" fillId="6" borderId="3" xfId="2" applyNumberFormat="1" applyFont="1" applyFill="1" applyBorder="1" applyAlignment="1">
      <alignment horizontal="right" vertical="center" wrapText="1" indent="1"/>
    </xf>
    <xf numFmtId="168" fontId="14" fillId="0" borderId="3" xfId="0" applyNumberFormat="1" applyFont="1" applyBorder="1" applyAlignment="1">
      <alignment vertical="center" wrapText="1"/>
    </xf>
    <xf numFmtId="168" fontId="14" fillId="6" borderId="3" xfId="0" applyNumberFormat="1" applyFont="1" applyFill="1" applyBorder="1" applyAlignment="1">
      <alignment vertical="center" wrapText="1"/>
    </xf>
    <xf numFmtId="166" fontId="13" fillId="0" borderId="3" xfId="0" applyNumberFormat="1" applyFont="1" applyBorder="1" applyAlignment="1">
      <alignment vertical="center" wrapText="1"/>
    </xf>
    <xf numFmtId="166" fontId="14" fillId="0" borderId="3" xfId="0" applyNumberFormat="1" applyFont="1" applyBorder="1" applyAlignment="1">
      <alignment vertical="center" wrapText="1"/>
    </xf>
    <xf numFmtId="169" fontId="14" fillId="6" borderId="3" xfId="0" applyNumberFormat="1" applyFont="1" applyFill="1" applyBorder="1" applyAlignment="1">
      <alignment vertical="center" wrapText="1"/>
    </xf>
    <xf numFmtId="169" fontId="14" fillId="0" borderId="3" xfId="0" applyNumberFormat="1" applyFont="1" applyBorder="1" applyAlignment="1">
      <alignment vertical="center" wrapText="1"/>
    </xf>
    <xf numFmtId="8" fontId="14" fillId="6" borderId="3" xfId="0" applyNumberFormat="1" applyFont="1" applyFill="1" applyBorder="1" applyAlignment="1">
      <alignment vertical="center" wrapText="1"/>
    </xf>
    <xf numFmtId="170" fontId="13" fillId="0" borderId="3" xfId="0" applyNumberFormat="1" applyFont="1" applyBorder="1" applyAlignment="1">
      <alignment vertical="center" wrapText="1"/>
    </xf>
    <xf numFmtId="170" fontId="14" fillId="0" borderId="3" xfId="0" applyNumberFormat="1" applyFont="1" applyBorder="1" applyAlignment="1">
      <alignment vertical="center" wrapText="1"/>
    </xf>
    <xf numFmtId="169" fontId="13" fillId="6" borderId="3" xfId="0" applyNumberFormat="1" applyFont="1" applyFill="1" applyBorder="1" applyAlignment="1">
      <alignment vertical="center" wrapText="1"/>
    </xf>
    <xf numFmtId="0" fontId="13" fillId="0" borderId="0" xfId="0" applyFont="1"/>
    <xf numFmtId="0" fontId="0" fillId="8" borderId="0" xfId="0" applyFill="1"/>
    <xf numFmtId="0" fontId="0" fillId="8" borderId="0" xfId="0" applyFill="1" applyAlignment="1">
      <alignment wrapText="1"/>
    </xf>
    <xf numFmtId="170" fontId="13" fillId="6" borderId="3" xfId="0" applyNumberFormat="1" applyFont="1" applyFill="1" applyBorder="1" applyAlignment="1">
      <alignment vertical="center" wrapText="1"/>
    </xf>
    <xf numFmtId="0" fontId="15" fillId="0" borderId="0" xfId="0" applyFont="1"/>
    <xf numFmtId="171" fontId="14" fillId="6" borderId="3" xfId="0" applyNumberFormat="1" applyFont="1" applyFill="1" applyBorder="1" applyAlignment="1">
      <alignment vertical="center" wrapText="1"/>
    </xf>
    <xf numFmtId="172" fontId="14" fillId="6" borderId="3" xfId="0" applyNumberFormat="1" applyFont="1" applyFill="1" applyBorder="1" applyAlignment="1">
      <alignment vertical="center" wrapText="1"/>
    </xf>
    <xf numFmtId="1" fontId="13" fillId="6" borderId="3" xfId="0" applyNumberFormat="1" applyFont="1" applyFill="1" applyBorder="1" applyAlignment="1">
      <alignment vertical="center" wrapText="1"/>
    </xf>
    <xf numFmtId="0" fontId="5" fillId="0" borderId="0" xfId="0" applyFont="1" applyFill="1" applyAlignment="1">
      <alignment horizontal="center"/>
    </xf>
    <xf numFmtId="0" fontId="0" fillId="5" borderId="0" xfId="0" applyFont="1" applyFill="1" applyAlignment="1">
      <alignment horizontal="center" wrapText="1"/>
    </xf>
    <xf numFmtId="0" fontId="0" fillId="4" borderId="0" xfId="0" applyFont="1" applyFill="1" applyAlignment="1">
      <alignment horizontal="center" wrapText="1"/>
    </xf>
    <xf numFmtId="1" fontId="14" fillId="0" borderId="3" xfId="0" applyNumberFormat="1" applyFont="1" applyBorder="1" applyAlignment="1">
      <alignment vertical="center" wrapText="1"/>
    </xf>
    <xf numFmtId="0" fontId="14" fillId="0" borderId="2" xfId="0" applyFont="1" applyFill="1" applyBorder="1" applyAlignment="1">
      <alignment vertical="center" wrapText="1"/>
    </xf>
    <xf numFmtId="0" fontId="13" fillId="0" borderId="3" xfId="0" applyFont="1" applyFill="1" applyBorder="1" applyAlignment="1">
      <alignment vertical="center" wrapText="1"/>
    </xf>
    <xf numFmtId="0" fontId="0" fillId="9" borderId="0" xfId="0" applyFill="1" applyAlignment="1">
      <alignment wrapText="1"/>
    </xf>
    <xf numFmtId="0" fontId="14" fillId="0" borderId="4" xfId="0" applyFont="1" applyBorder="1" applyAlignment="1">
      <alignment vertical="center" wrapText="1"/>
    </xf>
    <xf numFmtId="0" fontId="14" fillId="0" borderId="0" xfId="0" applyFont="1" applyAlignment="1">
      <alignment vertical="center" wrapText="1"/>
    </xf>
    <xf numFmtId="0" fontId="14" fillId="0" borderId="3" xfId="0" applyFont="1" applyBorder="1" applyAlignment="1">
      <alignment vertical="center" wrapText="1"/>
    </xf>
    <xf numFmtId="0" fontId="5" fillId="0" borderId="0" xfId="0" applyFont="1" applyFill="1" applyAlignment="1">
      <alignment horizontal="center"/>
    </xf>
    <xf numFmtId="0" fontId="0" fillId="5" borderId="0" xfId="0" applyFont="1" applyFill="1" applyAlignment="1">
      <alignment horizontal="center" wrapText="1"/>
    </xf>
    <xf numFmtId="0" fontId="5" fillId="3" borderId="0" xfId="0" applyFont="1" applyFill="1" applyAlignment="1">
      <alignment horizontal="center"/>
    </xf>
    <xf numFmtId="0" fontId="3" fillId="3" borderId="0" xfId="0" applyFont="1" applyFill="1" applyAlignment="1">
      <alignment horizontal="center"/>
    </xf>
    <xf numFmtId="0" fontId="0" fillId="3" borderId="0" xfId="0" applyFill="1" applyAlignment="1">
      <alignment horizontal="center"/>
    </xf>
    <xf numFmtId="0" fontId="2" fillId="0" borderId="0" xfId="0" applyFont="1" applyAlignment="1">
      <alignment horizontal="center" wrapText="1"/>
    </xf>
    <xf numFmtId="0" fontId="0" fillId="4" borderId="0" xfId="0" applyFont="1" applyFill="1" applyAlignment="1">
      <alignment horizontal="center" wrapText="1"/>
    </xf>
    <xf numFmtId="0" fontId="12" fillId="3" borderId="0" xfId="0" applyFont="1" applyFill="1" applyAlignment="1">
      <alignment horizontal="center"/>
    </xf>
  </cellXfs>
  <cellStyles count="4">
    <cellStyle name="Currency" xfId="2" builtinId="4"/>
    <cellStyle name="Hyperlink" xfId="3"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15875</xdr:colOff>
      <xdr:row>4</xdr:row>
      <xdr:rowOff>3175</xdr:rowOff>
    </xdr:from>
    <xdr:ext cx="5363327" cy="631198"/>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5475" y="739775"/>
              <a:ext cx="5363327"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𝑙𝑜𝑠𝑠</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𝑔𝑎𝑖𝑛</m:t>
                        </m:r>
                      </m:num>
                      <m:den>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 name="TextBox 1"/>
            <xdr:cNvSpPr txBox="1"/>
          </xdr:nvSpPr>
          <xdr:spPr>
            <a:xfrm>
              <a:off x="625475" y="739775"/>
              <a:ext cx="5363327"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(1)  𝑎𝑛𝑛𝑢𝑎𝑙 𝑜𝑝𝑒𝑟𝑎𝑡𝑖𝑜𝑛𝑎𝑙 ℎ𝑒𝑎𝑡𝑖𝑛𝑔 𝑜𝑟 𝑐𝑜𝑜𝑙𝑖𝑛𝑔 𝑐𝑜𝑠𝑡=(𝐺𝐽 ℎ𝑒𝑎𝑡 𝑙𝑜𝑠𝑠 𝑜𝑟 𝑔𝑎𝑖𝑛)/𝑒𝑓𝑓𝑖𝑐𝑖𝑒𝑛𝑐𝑦∗(𝑐𝑜𝑠𝑡 𝑝𝑒𝑟 𝑘𝑊ℎ)/(0.0036 𝐺𝐽/𝑘𝑊ℎ)</a:t>
              </a:r>
              <a:endParaRPr lang="en-CA" sz="1100" b="0" i="1">
                <a:latin typeface="Cambria Math" panose="02040503050406030204" pitchFamily="18" charset="0"/>
              </a:endParaRPr>
            </a:p>
            <a:p>
              <a:r>
                <a:rPr lang="en-CA" sz="1100" b="0" i="0">
                  <a:latin typeface="Cambria Math" panose="02040503050406030204" pitchFamily="18" charset="0"/>
                </a:rPr>
                <a:t> </a:t>
              </a:r>
              <a:endParaRPr lang="en-CA" sz="1100" b="0"/>
            </a:p>
          </xdr:txBody>
        </xdr:sp>
      </mc:Fallback>
    </mc:AlternateContent>
    <xdr:clientData/>
  </xdr:oneCellAnchor>
  <xdr:oneCellAnchor>
    <xdr:from>
      <xdr:col>0</xdr:col>
      <xdr:colOff>600075</xdr:colOff>
      <xdr:row>11</xdr:row>
      <xdr:rowOff>15875</xdr:rowOff>
    </xdr:from>
    <xdr:ext cx="5219121" cy="172227"/>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600075" y="2041525"/>
              <a:ext cx="5219121"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3</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𝑢𝑠𝑖𝑛𝑔</m:t>
                    </m:r>
                    <m:r>
                      <a:rPr lang="en-CA" sz="1100" b="0" i="1">
                        <a:latin typeface="Cambria Math" panose="02040503050406030204" pitchFamily="18" charset="0"/>
                      </a:rPr>
                      <m:t> </m:t>
                    </m:r>
                    <m:r>
                      <a:rPr lang="en-CA" sz="1100" b="0" i="1">
                        <a:latin typeface="Cambria Math" panose="02040503050406030204" pitchFamily="18" charset="0"/>
                      </a:rPr>
                      <m:t>𝑎</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𝑒𝑥𝑖𝑠𝑡𝑖𝑛𝑔</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 </m:t>
                    </m:r>
                  </m:oMath>
                </m:oMathPara>
              </a14:m>
              <a:endParaRPr lang="en-CA" sz="1100" b="0"/>
            </a:p>
          </xdr:txBody>
        </xdr:sp>
      </mc:Choice>
      <mc:Fallback xmlns="">
        <xdr:sp macro="" textlink="">
          <xdr:nvSpPr>
            <xdr:cNvPr id="4" name="TextBox 3"/>
            <xdr:cNvSpPr txBox="1"/>
          </xdr:nvSpPr>
          <xdr:spPr>
            <a:xfrm>
              <a:off x="600075" y="2041525"/>
              <a:ext cx="5219121"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(3)  𝑎𝑛𝑛𝑢𝑎𝑙 𝑠𝑎𝑣𝑖𝑛𝑔𝑠 𝑓𝑟𝑜𝑚 𝑢𝑠𝑖𝑛𝑔 𝑎 𝐻𝑃=𝑒𝑞 (2)  𝑓𝑜𝑟 𝑒𝑥𝑖𝑠𝑡𝑖𝑛𝑔 𝑠𝑦𝑠𝑡𝑒𝑚 −𝑒𝑞 (2)𝑓𝑜𝑟 𝐻𝑃 </a:t>
              </a:r>
              <a:endParaRPr lang="en-CA" sz="1100" b="0"/>
            </a:p>
          </xdr:txBody>
        </xdr:sp>
      </mc:Fallback>
    </mc:AlternateContent>
    <xdr:clientData/>
  </xdr:oneCellAnchor>
  <xdr:oneCellAnchor>
    <xdr:from>
      <xdr:col>0</xdr:col>
      <xdr:colOff>587374</xdr:colOff>
      <xdr:row>8</xdr:row>
      <xdr:rowOff>57151</xdr:rowOff>
    </xdr:from>
    <xdr:ext cx="6931026" cy="273049"/>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600-000005000000}"/>
                </a:ext>
              </a:extLst>
            </xdr:cNvPr>
            <xdr:cNvSpPr txBox="1"/>
          </xdr:nvSpPr>
          <xdr:spPr>
            <a:xfrm>
              <a:off x="587374" y="1530351"/>
              <a:ext cx="693102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𝑚𝑎𝑖𝑛𝑡𝑒𝑛𝑎𝑛𝑐𝑒</m:t>
                  </m:r>
                  <m:r>
                    <a:rPr lang="en-CA" sz="1100" b="0" i="1">
                      <a:latin typeface="Cambria Math" panose="02040503050406030204" pitchFamily="18" charset="0"/>
                    </a:rPr>
                    <m:t> </m:t>
                  </m:r>
                  <m:r>
                    <a:rPr lang="en-CA" sz="1100" b="0" i="1">
                      <a:latin typeface="Cambria Math" panose="02040503050406030204" pitchFamily="18" charset="0"/>
                    </a:rPr>
                    <m:t>𝑐𝑜𝑠𝑡</m:t>
                  </m:r>
                </m:oMath>
              </a14:m>
              <a:endParaRPr lang="en-CA" sz="1100"/>
            </a:p>
            <a:p>
              <a:endParaRPr lang="en-CA" sz="1100"/>
            </a:p>
          </xdr:txBody>
        </xdr:sp>
      </mc:Choice>
      <mc:Fallback xmlns="">
        <xdr:sp macro="" textlink="">
          <xdr:nvSpPr>
            <xdr:cNvPr id="5" name="TextBox 4"/>
            <xdr:cNvSpPr txBox="1"/>
          </xdr:nvSpPr>
          <xdr:spPr>
            <a:xfrm>
              <a:off x="587374" y="1530351"/>
              <a:ext cx="693102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 </a:t>
              </a:r>
              <a:r>
                <a:rPr lang="en-CA" sz="1100" b="0" i="0">
                  <a:latin typeface="Cambria Math" panose="02040503050406030204" pitchFamily="18" charset="0"/>
                </a:rPr>
                <a:t>𝑡𝑜𝑡𝑎𝑙 𝑎𝑛𝑛𝑢𝑎𝑙 ℎ𝑒𝑎𝑡𝑖𝑛𝑔 𝑎𝑛𝑑 𝑐𝑜𝑜𝑙𝑖𝑛𝑔 𝑐𝑜𝑠𝑡=𝑒𝑞 (1)𝑓𝑜𝑟 ℎ𝑒𝑎𝑡𝑖𝑛𝑔+𝑒𝑞 (1)𝑓𝑜𝑟 𝑐𝑜𝑜𝑙𝑖𝑛𝑔+𝑎𝑛𝑛𝑢𝑎𝑙 𝑚𝑎𝑖𝑛𝑡𝑒𝑛𝑎𝑛𝑐𝑒 𝑐𝑜𝑠𝑡</a:t>
              </a:r>
              <a:endParaRPr lang="en-CA" sz="1100"/>
            </a:p>
            <a:p>
              <a:endParaRPr lang="en-CA" sz="1100"/>
            </a:p>
          </xdr:txBody>
        </xdr:sp>
      </mc:Fallback>
    </mc:AlternateContent>
    <xdr:clientData/>
  </xdr:oneCellAnchor>
  <xdr:oneCellAnchor>
    <xdr:from>
      <xdr:col>0</xdr:col>
      <xdr:colOff>574675</xdr:colOff>
      <xdr:row>16</xdr:row>
      <xdr:rowOff>66675</xdr:rowOff>
    </xdr:from>
    <xdr:ext cx="6247544" cy="172227"/>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574675" y="3013075"/>
              <a:ext cx="6247544"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a:t>(4)</a:t>
              </a:r>
              <a:r>
                <a:rPr lang="en-CA" sz="1100" b="0" baseline="0"/>
                <a:t> </a:t>
              </a:r>
              <a14:m>
                <m:oMath xmlns:m="http://schemas.openxmlformats.org/officeDocument/2006/math">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𝑎𝑣𝑔</m:t>
                  </m:r>
                  <m:r>
                    <a:rPr lang="en-CA" sz="1100" b="0" i="1">
                      <a:latin typeface="Cambria Math" panose="02040503050406030204" pitchFamily="18" charset="0"/>
                    </a:rPr>
                    <m:t> </m:t>
                  </m:r>
                  <m:r>
                    <a:rPr lang="en-CA" sz="1100" b="0" i="1">
                      <a:latin typeface="Cambria Math" panose="02040503050406030204" pitchFamily="18" charset="0"/>
                    </a:rPr>
                    <m:t>𝑙𝑖𝑓𝑠𝑝𝑎𝑛</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𝑐𝑜𝑠𝑡</m:t>
                  </m:r>
                </m:oMath>
              </a14:m>
              <a:endParaRPr lang="en-CA" sz="1100" b="0"/>
            </a:p>
          </xdr:txBody>
        </xdr:sp>
      </mc:Choice>
      <mc:Fallback xmlns="">
        <xdr:sp macro="" textlink="">
          <xdr:nvSpPr>
            <xdr:cNvPr id="6" name="TextBox 5"/>
            <xdr:cNvSpPr txBox="1"/>
          </xdr:nvSpPr>
          <xdr:spPr>
            <a:xfrm>
              <a:off x="574675" y="3013075"/>
              <a:ext cx="6247544"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a:t>(4)</a:t>
              </a:r>
              <a:r>
                <a:rPr lang="en-CA" sz="1100" b="0" baseline="0"/>
                <a:t> </a:t>
              </a:r>
              <a:r>
                <a:rPr lang="en-CA" sz="1100" b="0" i="0">
                  <a:latin typeface="Cambria Math" panose="02040503050406030204" pitchFamily="18" charset="0"/>
                </a:rPr>
                <a:t> 𝑙𝑖𝑓𝑒𝑡𝑖𝑚𝑒 𝑜𝑝𝑒𝑟𝑎𝑡𝑖𝑜𝑛𝑎𝑙 𝑐𝑜𝑠𝑡=(𝑎𝑣𝑔 𝑙𝑖𝑓𝑠𝑝𝑎𝑛 𝑜𝑓 𝐻𝑃 𝑠𝑦𝑠𝑡𝑒𝑚)∗𝑡𝑜𝑡𝑎𝑙 𝑎𝑛𝑛𝑢𝑎𝑙 ℎ𝑒𝑎𝑡𝑖𝑛𝑔 𝑎𝑛𝑑 𝑐𝑜𝑜𝑙𝑖𝑛𝑔 𝑐𝑜𝑠𝑡</a:t>
              </a:r>
              <a:endParaRPr lang="en-CA" sz="1100" b="0"/>
            </a:p>
          </xdr:txBody>
        </xdr:sp>
      </mc:Fallback>
    </mc:AlternateContent>
    <xdr:clientData/>
  </xdr:oneCellAnchor>
  <xdr:oneCellAnchor>
    <xdr:from>
      <xdr:col>0</xdr:col>
      <xdr:colOff>600075</xdr:colOff>
      <xdr:row>18</xdr:row>
      <xdr:rowOff>92075</xdr:rowOff>
    </xdr:from>
    <xdr:ext cx="4658070" cy="172227"/>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600075" y="3406775"/>
              <a:ext cx="465807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a:t>(5)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𝑖𝑛𝑠𝑡𝑎𝑙𝑙𝑖𝑛𝑔</m:t>
                  </m:r>
                  <m:r>
                    <a:rPr lang="en-CA" sz="1100" b="0" i="1">
                      <a:latin typeface="Cambria Math" panose="02040503050406030204" pitchFamily="18" charset="0"/>
                    </a:rPr>
                    <m:t> </m:t>
                  </m:r>
                  <m:r>
                    <a:rPr lang="en-CA" sz="1100" b="0" i="1">
                      <a:latin typeface="Cambria Math" panose="02040503050406030204" pitchFamily="18" charset="0"/>
                    </a:rPr>
                    <m:t>𝑎</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m:t>
                  </m:r>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𝑐𝑎𝑝𝑖𝑡𝑎𝑙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𝐻𝑃</m:t>
                  </m:r>
                </m:oMath>
              </a14:m>
              <a:endParaRPr lang="en-CA" sz="1100"/>
            </a:p>
          </xdr:txBody>
        </xdr:sp>
      </mc:Choice>
      <mc:Fallback xmlns="">
        <xdr:sp macro="" textlink="">
          <xdr:nvSpPr>
            <xdr:cNvPr id="7" name="TextBox 6"/>
            <xdr:cNvSpPr txBox="1"/>
          </xdr:nvSpPr>
          <xdr:spPr>
            <a:xfrm>
              <a:off x="600075" y="3406775"/>
              <a:ext cx="465807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a:t>(5) </a:t>
              </a:r>
              <a:r>
                <a:rPr lang="en-CA" sz="1100" b="0" i="0">
                  <a:latin typeface="Cambria Math" panose="02040503050406030204" pitchFamily="18" charset="0"/>
                </a:rPr>
                <a:t>𝑡𝑜𝑡𝑎𝑙 𝑙𝑖𝑓𝑒𝑡𝑖𝑚𝑒 𝑐𝑜𝑠𝑡 𝑜𝑓 𝑖𝑛𝑠𝑡𝑎𝑙𝑙𝑖𝑛𝑔 𝑎 𝐻𝑃=𝐻𝑃 𝑐𝑎𝑝𝑖𝑡𝑎𝑙 𝑐𝑜𝑠𝑡+𝑒𝑞 (4)𝑓𝑜𝑟 𝐻𝑃</a:t>
              </a:r>
              <a:endParaRPr lang="en-CA" sz="1100"/>
            </a:p>
          </xdr:txBody>
        </xdr:sp>
      </mc:Fallback>
    </mc:AlternateContent>
    <xdr:clientData/>
  </xdr:oneCellAnchor>
  <xdr:oneCellAnchor>
    <xdr:from>
      <xdr:col>0</xdr:col>
      <xdr:colOff>587375</xdr:colOff>
      <xdr:row>20</xdr:row>
      <xdr:rowOff>130175</xdr:rowOff>
    </xdr:from>
    <xdr:ext cx="5085110" cy="172227"/>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00000000-0008-0000-0600-000008000000}"/>
                </a:ext>
              </a:extLst>
            </xdr:cNvPr>
            <xdr:cNvSpPr txBox="1"/>
          </xdr:nvSpPr>
          <xdr:spPr>
            <a:xfrm>
              <a:off x="587375" y="3813175"/>
              <a:ext cx="508511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6</m:t>
                        </m:r>
                      </m:e>
                    </m:d>
                    <m:r>
                      <a:rPr lang="en-CA" sz="1100" b="0" i="1">
                        <a:latin typeface="Cambria Math" panose="02040503050406030204" pitchFamily="18" charset="0"/>
                      </a:rPr>
                      <m:t> </m:t>
                    </m:r>
                    <m:r>
                      <a:rPr lang="en-CA" sz="1100" b="0" i="1">
                        <a:latin typeface="Cambria Math" panose="02040503050406030204" pitchFamily="18" charset="0"/>
                      </a:rPr>
                      <m:t>𝑛𝑒𝑡</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𝑖𝑛𝑠𝑡𝑎𝑙𝑙𝑖𝑛𝑔</m:t>
                    </m:r>
                    <m:r>
                      <a:rPr lang="en-CA" sz="1100" b="0" i="1">
                        <a:latin typeface="Cambria Math" panose="02040503050406030204" pitchFamily="18" charset="0"/>
                      </a:rPr>
                      <m:t> </m:t>
                    </m:r>
                    <m:r>
                      <a:rPr lang="en-CA" sz="1100" b="0" i="1">
                        <a:latin typeface="Cambria Math" panose="02040503050406030204" pitchFamily="18" charset="0"/>
                      </a:rPr>
                      <m:t>𝑎</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5</m:t>
                        </m:r>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𝑒𝑥𝑖𝑠𝑡𝑖𝑛𝑔</m:t>
                    </m:r>
                    <m:r>
                      <a:rPr lang="en-CA" sz="1100" b="0" i="1">
                        <a:latin typeface="Cambria Math" panose="02040503050406030204" pitchFamily="18" charset="0"/>
                      </a:rPr>
                      <m:t> </m:t>
                    </m:r>
                    <m:r>
                      <a:rPr lang="en-CA" sz="1100" b="0" i="1">
                        <a:latin typeface="Cambria Math" panose="02040503050406030204" pitchFamily="18" charset="0"/>
                      </a:rPr>
                      <m:t>𝑠𝑦𝑠𝑡𝑒𝑚</m:t>
                    </m:r>
                  </m:oMath>
                </m:oMathPara>
              </a14:m>
              <a:endParaRPr lang="en-CA" sz="1100"/>
            </a:p>
          </xdr:txBody>
        </xdr:sp>
      </mc:Choice>
      <mc:Fallback xmlns="">
        <xdr:sp macro="" textlink="">
          <xdr:nvSpPr>
            <xdr:cNvPr id="8" name="TextBox 7"/>
            <xdr:cNvSpPr txBox="1"/>
          </xdr:nvSpPr>
          <xdr:spPr>
            <a:xfrm>
              <a:off x="587375" y="3813175"/>
              <a:ext cx="508511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(6)  𝑛𝑒𝑡 𝑙𝑖𝑓𝑒𝑡𝑖𝑚𝑒 𝑐𝑜𝑠𝑡 𝑜𝑓 𝑖𝑛𝑠𝑡𝑎𝑙𝑙𝑖𝑛𝑔 𝑎 𝐻𝑃=𝑒𝑞 (5)−𝑒𝑞 (4)𝑓𝑜𝑟 𝑡ℎ𝑒 𝑒𝑥𝑖𝑠𝑡𝑖𝑛𝑔 𝑠𝑦𝑠𝑡𝑒𝑚</a:t>
              </a:r>
              <a:endParaRPr lang="en-CA" sz="1100"/>
            </a:p>
          </xdr:txBody>
        </xdr:sp>
      </mc:Fallback>
    </mc:AlternateContent>
    <xdr:clientData/>
  </xdr:oneCellAnchor>
  <xdr:oneCellAnchor>
    <xdr:from>
      <xdr:col>0</xdr:col>
      <xdr:colOff>593725</xdr:colOff>
      <xdr:row>22</xdr:row>
      <xdr:rowOff>168275</xdr:rowOff>
    </xdr:from>
    <xdr:ext cx="2402581" cy="351443"/>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593725" y="4219575"/>
              <a:ext cx="2402581" cy="351443"/>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7</m:t>
                        </m:r>
                      </m:e>
                    </m:d>
                    <m:r>
                      <a:rPr lang="en-CA" sz="1100" b="0" i="1">
                        <a:latin typeface="Cambria Math" panose="02040503050406030204" pitchFamily="18" charset="0"/>
                      </a:rPr>
                      <m:t> </m:t>
                    </m:r>
                    <m:r>
                      <a:rPr lang="en-CA" sz="1100" b="0" i="1">
                        <a:latin typeface="Cambria Math" panose="02040503050406030204" pitchFamily="18" charset="0"/>
                      </a:rPr>
                      <m:t>𝑝𝑎𝑦𝑏𝑎𝑐𝑘</m:t>
                    </m:r>
                    <m:r>
                      <a:rPr lang="en-CA" sz="1100" b="0" i="1">
                        <a:latin typeface="Cambria Math" panose="02040503050406030204" pitchFamily="18" charset="0"/>
                      </a:rPr>
                      <m:t> </m:t>
                    </m:r>
                    <m:r>
                      <a:rPr lang="en-CA" sz="1100" b="0" i="1">
                        <a:latin typeface="Cambria Math" panose="02040503050406030204" pitchFamily="18" charset="0"/>
                      </a:rPr>
                      <m:t>𝑝𝑒𝑟𝑖𝑜𝑑</m:t>
                    </m:r>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𝑐𝑎𝑝𝑖𝑡𝑎𝑙</m:t>
                        </m:r>
                        <m:r>
                          <a:rPr lang="en-CA" sz="1100" b="0" i="1">
                            <a:latin typeface="Cambria Math" panose="02040503050406030204" pitchFamily="18" charset="0"/>
                          </a:rPr>
                          <m:t> </m:t>
                        </m:r>
                        <m:r>
                          <a:rPr lang="en-CA" sz="1100" b="0" i="1">
                            <a:latin typeface="Cambria Math" panose="02040503050406030204" pitchFamily="18" charset="0"/>
                          </a:rPr>
                          <m:t>𝑐𝑜𝑠𝑡</m:t>
                        </m:r>
                      </m:num>
                      <m:den>
                        <m:r>
                          <a:rPr lang="en-CA" sz="1100" b="0" i="1">
                            <a:latin typeface="Cambria Math" panose="02040503050406030204" pitchFamily="18" charset="0"/>
                          </a:rPr>
                          <m:t>𝑒𝑞</m:t>
                        </m:r>
                        <m:r>
                          <a:rPr lang="en-CA" sz="1100" b="0" i="1">
                            <a:latin typeface="Cambria Math" panose="02040503050406030204" pitchFamily="18" charset="0"/>
                          </a:rPr>
                          <m:t> (3)</m:t>
                        </m:r>
                      </m:den>
                    </m:f>
                  </m:oMath>
                </m:oMathPara>
              </a14:m>
              <a:endParaRPr lang="en-CA" sz="1100"/>
            </a:p>
          </xdr:txBody>
        </xdr:sp>
      </mc:Choice>
      <mc:Fallback xmlns="">
        <xdr:sp macro="" textlink="">
          <xdr:nvSpPr>
            <xdr:cNvPr id="9" name="TextBox 8"/>
            <xdr:cNvSpPr txBox="1"/>
          </xdr:nvSpPr>
          <xdr:spPr>
            <a:xfrm>
              <a:off x="593725" y="4219575"/>
              <a:ext cx="2402581" cy="351443"/>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(7)  𝑝𝑎𝑦𝑏𝑎𝑐𝑘 𝑝𝑒𝑟𝑖𝑜𝑑=(𝐻𝑃 𝑐𝑎𝑝𝑖𝑡𝑎𝑙 𝑐𝑜𝑠𝑡)/(𝑒𝑞 (3))</a:t>
              </a:r>
              <a:endParaRPr lang="en-CA" sz="1100"/>
            </a:p>
          </xdr:txBody>
        </xdr:sp>
      </mc:Fallback>
    </mc:AlternateContent>
    <xdr:clientData/>
  </xdr:oneCellAnchor>
  <xdr:oneCellAnchor>
    <xdr:from>
      <xdr:col>0</xdr:col>
      <xdr:colOff>581025</xdr:colOff>
      <xdr:row>47</xdr:row>
      <xdr:rowOff>47625</xdr:rowOff>
    </xdr:from>
    <xdr:ext cx="3845283" cy="775149"/>
    <mc:AlternateContent xmlns:mc="http://schemas.openxmlformats.org/markup-compatibility/2006" xmlns:a14="http://schemas.microsoft.com/office/drawing/2010/main">
      <mc:Choice Requires="a14">
        <xdr:sp macro="" textlink="">
          <xdr:nvSpPr>
            <xdr:cNvPr id="10" name="TextBox 9">
              <a:extLst>
                <a:ext uri="{FF2B5EF4-FFF2-40B4-BE49-F238E27FC236}">
                  <a16:creationId xmlns:a16="http://schemas.microsoft.com/office/drawing/2014/main" id="{00000000-0008-0000-0600-00000A000000}"/>
                </a:ext>
              </a:extLst>
            </xdr:cNvPr>
            <xdr:cNvSpPr txBox="1"/>
          </xdr:nvSpPr>
          <xdr:spPr>
            <a:xfrm>
              <a:off x="581025" y="8518525"/>
              <a:ext cx="3845283" cy="7751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15</m:t>
                        </m:r>
                      </m:e>
                    </m:d>
                    <m:r>
                      <a:rPr lang="en-CA" sz="1100" b="0" i="1">
                        <a:latin typeface="Cambria Math" panose="02040503050406030204" pitchFamily="18" charset="0"/>
                      </a:rPr>
                      <m:t> </m:t>
                    </m:r>
                    <m:r>
                      <a:rPr lang="en-CA" sz="1100" b="0" i="1">
                        <a:latin typeface="Cambria Math" panose="02040503050406030204" pitchFamily="18" charset="0"/>
                      </a:rPr>
                      <m:t>𝑘𝑊h</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r>
                      <a:rPr lang="en-CA" sz="1100" b="0" i="1">
                        <a:latin typeface="Cambria Math" panose="02040503050406030204" pitchFamily="18" charset="0"/>
                      </a:rPr>
                      <m:t>=</m:t>
                    </m:r>
                    <m:f>
                      <m:fPr>
                        <m:ctrlPr>
                          <a:rPr lang="en-CA" sz="1100" b="0" i="1">
                            <a:latin typeface="Cambria Math" panose="02040503050406030204" pitchFamily="18" charset="0"/>
                          </a:rPr>
                        </m:ctrlPr>
                      </m:fPr>
                      <m:num>
                        <m:f>
                          <m:fPr>
                            <m:ctrlPr>
                              <a:rPr lang="en-CA" sz="1100" b="0" i="1">
                                <a:latin typeface="Cambria Math" panose="02040503050406030204" pitchFamily="18" charset="0"/>
                              </a:rPr>
                            </m:ctrlPr>
                          </m:fPr>
                          <m:num>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a:p>
            <a:p>
              <a:endParaRPr lang="en-CA" sz="1100"/>
            </a:p>
          </xdr:txBody>
        </xdr:sp>
      </mc:Choice>
      <mc:Fallback xmlns="">
        <xdr:sp macro="" textlink="">
          <xdr:nvSpPr>
            <xdr:cNvPr id="10" name="TextBox 9"/>
            <xdr:cNvSpPr txBox="1"/>
          </xdr:nvSpPr>
          <xdr:spPr>
            <a:xfrm>
              <a:off x="581025" y="8518525"/>
              <a:ext cx="3845283" cy="7751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(15)  𝑘𝑊ℎ ℎ𝑒𝑎𝑡𝑖𝑛𝑔 𝑜𝑟 𝑐𝑜𝑜𝑙𝑖𝑛𝑔 𝑙𝑜𝑎𝑑=((ℎ𝑒𝑎𝑡𝑖𝑛𝑔 𝑜𝑟 𝑐𝑜𝑜𝑙𝑖𝑛𝑔 𝑙𝑜𝑎𝑑)/(𝑠𝑦𝑠𝑡𝑒𝑚 𝑒𝑓𝑓𝑖𝑐𝑖𝑒𝑛𝑐𝑦))/(0.0036 𝐺𝐽/𝑘𝑊ℎ)</a:t>
              </a:r>
              <a:endParaRPr lang="en-CA" sz="1100" b="0"/>
            </a:p>
            <a:p>
              <a:endParaRPr lang="en-CA" sz="1100"/>
            </a:p>
          </xdr:txBody>
        </xdr:sp>
      </mc:Fallback>
    </mc:AlternateContent>
    <xdr:clientData/>
  </xdr:oneCellAnchor>
  <xdr:oneCellAnchor>
    <xdr:from>
      <xdr:col>1</xdr:col>
      <xdr:colOff>15875</xdr:colOff>
      <xdr:row>53</xdr:row>
      <xdr:rowOff>111125</xdr:rowOff>
    </xdr:from>
    <xdr:ext cx="9838655" cy="172227"/>
    <mc:AlternateContent xmlns:mc="http://schemas.openxmlformats.org/markup-compatibility/2006" xmlns:a14="http://schemas.microsoft.com/office/drawing/2010/main">
      <mc:Choice Requires="a14">
        <xdr:sp macro="" textlink="">
          <xdr:nvSpPr>
            <xdr:cNvPr id="11" name="TextBox 10">
              <a:extLst>
                <a:ext uri="{FF2B5EF4-FFF2-40B4-BE49-F238E27FC236}">
                  <a16:creationId xmlns:a16="http://schemas.microsoft.com/office/drawing/2014/main" id="{00000000-0008-0000-0600-00000B000000}"/>
                </a:ext>
              </a:extLst>
            </xdr:cNvPr>
            <xdr:cNvSpPr txBox="1"/>
          </xdr:nvSpPr>
          <xdr:spPr>
            <a:xfrm>
              <a:off x="625475" y="8582025"/>
              <a:ext cx="9838655"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 </m:t>
                    </m:r>
                    <m:r>
                      <a:rPr lang="en-CA" sz="1100" b="0" i="1">
                        <a:latin typeface="Cambria Math" panose="02040503050406030204" pitchFamily="18" charset="0"/>
                      </a:rPr>
                      <m:t>𝑘𝑊h</m:t>
                    </m:r>
                    <m:r>
                      <a:rPr lang="en-CA" sz="1100" b="0" i="1">
                        <a:latin typeface="Cambria Math" panose="02040503050406030204" pitchFamily="18" charset="0"/>
                      </a:rPr>
                      <m:t> </m:t>
                    </m:r>
                    <m:r>
                      <a:rPr lang="en-CA" sz="1100" b="0" i="1">
                        <a:latin typeface="Cambria Math" panose="02040503050406030204" pitchFamily="18" charset="0"/>
                      </a:rPr>
                      <m:t>𝑎𝑣𝑜𝑖𝑑𝑒𝑑</m:t>
                    </m:r>
                    <m:r>
                      <a:rPr lang="en-CA" sz="1100" b="0" i="1">
                        <a:latin typeface="Cambria Math" panose="02040503050406030204" pitchFamily="18" charset="0"/>
                      </a:rPr>
                      <m:t> </m:t>
                    </m:r>
                    <m:r>
                      <a:rPr lang="en-CA" sz="1100" b="0" i="1">
                        <a:latin typeface="Cambria Math" panose="02040503050406030204" pitchFamily="18" charset="0"/>
                      </a:rPr>
                      <m:t>𝑏𝑦</m:t>
                    </m:r>
                    <m:r>
                      <a:rPr lang="en-CA" sz="1100" b="0" i="1">
                        <a:latin typeface="Cambria Math" panose="02040503050406030204" pitchFamily="18" charset="0"/>
                      </a:rPr>
                      <m:t> </m:t>
                    </m:r>
                    <m:r>
                      <a:rPr lang="en-CA" sz="1100" b="0" i="1">
                        <a:latin typeface="Cambria Math" panose="02040503050406030204" pitchFamily="18" charset="0"/>
                      </a:rPr>
                      <m:t>𝑠𝑤𝑖𝑡𝑐h𝑖𝑛𝑔</m:t>
                    </m:r>
                    <m:r>
                      <a:rPr lang="en-CA" sz="1100" b="0" i="1">
                        <a:latin typeface="Cambria Math" panose="02040503050406030204" pitchFamily="18" charset="0"/>
                      </a:rPr>
                      <m:t> </m:t>
                    </m:r>
                    <m:r>
                      <a:rPr lang="en-CA" sz="1100" b="0" i="1">
                        <a:latin typeface="Cambria Math" panose="02040503050406030204" pitchFamily="18" charset="0"/>
                      </a:rPr>
                      <m:t>𝑡𝑜</m:t>
                    </m:r>
                    <m:r>
                      <a:rPr lang="en-CA" sz="1100" b="0" i="1">
                        <a:latin typeface="Cambria Math" panose="02040503050406030204" pitchFamily="18" charset="0"/>
                      </a:rPr>
                      <m:t> </m:t>
                    </m:r>
                    <m:r>
                      <a:rPr lang="en-CA" sz="1100" b="0" i="1">
                        <a:latin typeface="Cambria Math" panose="02040503050406030204" pitchFamily="18" charset="0"/>
                      </a:rPr>
                      <m:t>𝑎</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15</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𝑒𝑥𝑖𝑠𝑡𝑖𝑛𝑔</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15</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oMath>
                </m:oMathPara>
              </a14:m>
              <a:endParaRPr lang="en-CA" sz="1100"/>
            </a:p>
          </xdr:txBody>
        </xdr:sp>
      </mc:Choice>
      <mc:Fallback xmlns="">
        <xdr:sp macro="" textlink="">
          <xdr:nvSpPr>
            <xdr:cNvPr id="11" name="TextBox 10"/>
            <xdr:cNvSpPr txBox="1"/>
          </xdr:nvSpPr>
          <xdr:spPr>
            <a:xfrm>
              <a:off x="625475" y="8582025"/>
              <a:ext cx="9838655"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(16)  𝑘𝑊ℎ 𝑎𝑣𝑜𝑖𝑑𝑒𝑑 𝑏𝑦 𝑠𝑤𝑖𝑡𝑐ℎ𝑖𝑛𝑔 𝑡𝑜 𝑎 𝐻𝑃 𝑓𝑜𝑟 ℎ𝑒𝑎𝑡𝑖𝑛𝑔 𝑜𝑟 𝑐𝑜𝑜𝑙𝑖𝑛𝑔 =𝑒𝑞 (15)𝑓𝑜𝑟 𝑒𝑥𝑖𝑠𝑡𝑖𝑛𝑔 𝑠𝑦𝑠𝑡𝑒𝑚 𝑓𝑜𝑟 ℎ𝑒𝑎𝑡𝑖𝑛𝑔 𝑜𝑟 𝑐𝑜𝑜𝑙𝑖𝑛𝑔−𝑒𝑞 (15)𝑓𝑜𝑟 𝐻𝑃 𝑓𝑜𝑟 ℎ𝑒𝑎𝑡𝑖𝑛𝑔 𝑜𝑟 𝑐𝑜𝑜𝑙𝑖𝑛𝑔</a:t>
              </a:r>
              <a:endParaRPr lang="en-CA" sz="1100"/>
            </a:p>
          </xdr:txBody>
        </xdr:sp>
      </mc:Fallback>
    </mc:AlternateContent>
    <xdr:clientData/>
  </xdr:oneCellAnchor>
  <xdr:oneCellAnchor>
    <xdr:from>
      <xdr:col>0</xdr:col>
      <xdr:colOff>568325</xdr:colOff>
      <xdr:row>58</xdr:row>
      <xdr:rowOff>155575</xdr:rowOff>
    </xdr:from>
    <xdr:ext cx="7997510" cy="172227"/>
    <mc:AlternateContent xmlns:mc="http://schemas.openxmlformats.org/markup-compatibility/2006" xmlns:a14="http://schemas.microsoft.com/office/drawing/2010/main">
      <mc:Choice Requires="a14">
        <xdr:sp macro="" textlink="">
          <xdr:nvSpPr>
            <xdr:cNvPr id="12" name="TextBox 11">
              <a:extLst>
                <a:ext uri="{FF2B5EF4-FFF2-40B4-BE49-F238E27FC236}">
                  <a16:creationId xmlns:a16="http://schemas.microsoft.com/office/drawing/2014/main" id="{00000000-0008-0000-0600-00000C000000}"/>
                </a:ext>
              </a:extLst>
            </xdr:cNvPr>
            <xdr:cNvSpPr txBox="1"/>
          </xdr:nvSpPr>
          <xdr:spPr>
            <a:xfrm>
              <a:off x="568325" y="10283825"/>
              <a:ext cx="799751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17</m:t>
                        </m:r>
                      </m:e>
                    </m:d>
                    <m:r>
                      <a:rPr lang="en-CA" sz="1100" b="0" i="1">
                        <a:latin typeface="Cambria Math" panose="02040503050406030204" pitchFamily="18" charset="0"/>
                      </a:rPr>
                      <m:t> </m:t>
                    </m:r>
                    <m:r>
                      <a:rPr lang="en-CA" sz="1100" b="0" i="1">
                        <a:latin typeface="Cambria Math" panose="02040503050406030204" pitchFamily="18" charset="0"/>
                      </a:rPr>
                      <m:t>𝑘𝑔</m:t>
                    </m:r>
                    <m:r>
                      <a:rPr lang="en-CA" sz="1100" b="0" i="1">
                        <a:latin typeface="Cambria Math" panose="02040503050406030204" pitchFamily="18" charset="0"/>
                      </a:rPr>
                      <m:t> </m:t>
                    </m:r>
                    <m:r>
                      <a:rPr lang="en-CA" sz="1100" b="0" i="1">
                        <a:latin typeface="Cambria Math" panose="02040503050406030204" pitchFamily="18" charset="0"/>
                      </a:rPr>
                      <m:t>𝐺𝐻𝐺𝑒</m:t>
                    </m:r>
                    <m:r>
                      <a:rPr lang="en-CA" sz="1100" b="0" i="1">
                        <a:latin typeface="Cambria Math" panose="02040503050406030204" pitchFamily="18" charset="0"/>
                      </a:rPr>
                      <m:t> </m:t>
                    </m:r>
                    <m:r>
                      <a:rPr lang="en-CA" sz="1100" b="0" i="1">
                        <a:latin typeface="Cambria Math" panose="02040503050406030204" pitchFamily="18" charset="0"/>
                      </a:rPr>
                      <m:t>𝑎𝑣𝑜𝑖𝑑𝑒𝑑</m:t>
                    </m:r>
                    <m:r>
                      <a:rPr lang="en-CA" sz="1100" b="0" i="1">
                        <a:latin typeface="Cambria Math" panose="02040503050406030204" pitchFamily="18" charset="0"/>
                      </a:rPr>
                      <m:t> </m:t>
                    </m:r>
                    <m:r>
                      <a:rPr lang="en-CA" sz="1100" b="0" i="1">
                        <a:latin typeface="Cambria Math" panose="02040503050406030204" pitchFamily="18" charset="0"/>
                      </a:rPr>
                      <m:t>𝑏𝑦</m:t>
                    </m:r>
                    <m:r>
                      <a:rPr lang="en-CA" sz="1100" b="0" i="1">
                        <a:latin typeface="Cambria Math" panose="02040503050406030204" pitchFamily="18" charset="0"/>
                      </a:rPr>
                      <m:t> </m:t>
                    </m:r>
                    <m:r>
                      <a:rPr lang="en-CA" sz="1100" b="0" i="1">
                        <a:latin typeface="Cambria Math" panose="02040503050406030204" pitchFamily="18" charset="0"/>
                      </a:rPr>
                      <m:t>𝑠𝑤𝑖𝑡𝑐h𝑖𝑛𝑔</m:t>
                    </m:r>
                    <m:r>
                      <a:rPr lang="en-CA" sz="1100" b="0" i="1">
                        <a:latin typeface="Cambria Math" panose="02040503050406030204" pitchFamily="18" charset="0"/>
                      </a:rPr>
                      <m:t> </m:t>
                    </m:r>
                    <m:r>
                      <a:rPr lang="en-CA" sz="1100" b="0" i="1">
                        <a:latin typeface="Cambria Math" panose="02040503050406030204" pitchFamily="18" charset="0"/>
                      </a:rPr>
                      <m:t>𝑡𝑜</m:t>
                    </m:r>
                    <m:r>
                      <a:rPr lang="en-CA" sz="1100" b="0" i="1">
                        <a:latin typeface="Cambria Math" panose="02040503050406030204" pitchFamily="18" charset="0"/>
                      </a:rPr>
                      <m:t> </m:t>
                    </m:r>
                    <m:r>
                      <a:rPr lang="en-CA" sz="1100" b="0" i="1">
                        <a:latin typeface="Cambria Math" panose="02040503050406030204" pitchFamily="18" charset="0"/>
                      </a:rPr>
                      <m:t>𝑎</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m:t>
                    </m:r>
                    <m:r>
                      <a:rPr lang="en-CA" sz="1100" b="0" i="1">
                        <a:latin typeface="Cambria Math" panose="02040503050406030204" pitchFamily="18" charset="0"/>
                      </a:rPr>
                      <m:t>𝑀𝐸𝐹</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𝑤𝑖𝑛𝑡𝑒𝑟</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𝑀𝐸𝐹</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𝑠𝑢𝑚𝑚𝑒𝑟</m:t>
                    </m:r>
                    <m:r>
                      <a:rPr lang="en-CA" sz="1100" b="0" i="1">
                        <a:latin typeface="Cambria Math" panose="02040503050406030204" pitchFamily="18" charset="0"/>
                      </a:rPr>
                      <m:t>  </m:t>
                    </m:r>
                  </m:oMath>
                </m:oMathPara>
              </a14:m>
              <a:endParaRPr lang="en-CA" sz="1100"/>
            </a:p>
          </xdr:txBody>
        </xdr:sp>
      </mc:Choice>
      <mc:Fallback xmlns="">
        <xdr:sp macro="" textlink="">
          <xdr:nvSpPr>
            <xdr:cNvPr id="12" name="TextBox 11"/>
            <xdr:cNvSpPr txBox="1"/>
          </xdr:nvSpPr>
          <xdr:spPr>
            <a:xfrm>
              <a:off x="568325" y="10283825"/>
              <a:ext cx="7997510"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(17)  𝑘𝑔 𝐺𝐻𝐺𝑒 𝑎𝑣𝑜𝑖𝑑𝑒𝑑 𝑏𝑦 𝑠𝑤𝑖𝑡𝑐ℎ𝑖𝑛𝑔 𝑡𝑜 𝑎 𝐻𝑃=𝑒𝑞 (16)  𝑓𝑜𝑟 ℎ𝑒𝑎𝑡𝑖𝑛𝑔∗𝑀𝐸𝐹 𝑓𝑜𝑟 𝑤𝑖𝑛𝑡𝑒𝑟+𝑒𝑞 (16)𝑓𝑜𝑟 𝑐𝑜𝑜𝑙𝑖𝑛𝑔 ∗𝑀𝐸𝐹 𝑓𝑜𝑟 𝑠𝑢𝑚𝑚𝑒𝑟  </a:t>
              </a:r>
              <a:endParaRPr lang="en-CA" sz="1100"/>
            </a:p>
          </xdr:txBody>
        </xdr:sp>
      </mc:Fallback>
    </mc:AlternateContent>
    <xdr:clientData/>
  </xdr:oneCellAnchor>
  <xdr:oneCellAnchor>
    <xdr:from>
      <xdr:col>1</xdr:col>
      <xdr:colOff>3175</xdr:colOff>
      <xdr:row>28</xdr:row>
      <xdr:rowOff>22225</xdr:rowOff>
    </xdr:from>
    <xdr:ext cx="65" cy="172227"/>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612775" y="51784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1</xdr:col>
      <xdr:colOff>9525</xdr:colOff>
      <xdr:row>28</xdr:row>
      <xdr:rowOff>3175</xdr:rowOff>
    </xdr:from>
    <xdr:ext cx="9944581" cy="172227"/>
    <mc:AlternateContent xmlns:mc="http://schemas.openxmlformats.org/markup-compatibility/2006" xmlns:a14="http://schemas.microsoft.com/office/drawing/2010/main">
      <mc:Choice Requires="a14">
        <xdr:sp macro="" textlink="">
          <xdr:nvSpPr>
            <xdr:cNvPr id="13" name="TextBox 12">
              <a:extLst>
                <a:ext uri="{FF2B5EF4-FFF2-40B4-BE49-F238E27FC236}">
                  <a16:creationId xmlns:a16="http://schemas.microsoft.com/office/drawing/2014/main" id="{00000000-0008-0000-0600-00000D000000}"/>
                </a:ext>
              </a:extLst>
            </xdr:cNvPr>
            <xdr:cNvSpPr txBox="1"/>
          </xdr:nvSpPr>
          <xdr:spPr>
            <a:xfrm>
              <a:off x="619125" y="5159375"/>
              <a:ext cx="9944581"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8</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𝑝𝑎𝑦𝑚𝑒𝑛𝑡</m:t>
                    </m:r>
                    <m:r>
                      <a:rPr lang="en-CA" sz="1100" b="0" i="1">
                        <a:latin typeface="Cambria Math" panose="02040503050406030204" pitchFamily="18" charset="0"/>
                      </a:rPr>
                      <m:t> </m:t>
                    </m:r>
                    <m:r>
                      <a:rPr lang="en-CA" sz="1100" b="0" i="1">
                        <a:latin typeface="Cambria Math" panose="02040503050406030204" pitchFamily="18" charset="0"/>
                      </a:rPr>
                      <m:t>𝑜𝑛</m:t>
                    </m:r>
                    <m:r>
                      <a:rPr lang="en-CA" sz="1100" b="0" i="1">
                        <a:latin typeface="Cambria Math" panose="02040503050406030204" pitchFamily="18" charset="0"/>
                      </a:rPr>
                      <m:t> 15−</m:t>
                    </m:r>
                    <m:r>
                      <a:rPr lang="en-CA" sz="1100" b="0" i="1">
                        <a:latin typeface="Cambria Math" panose="02040503050406030204" pitchFamily="18" charset="0"/>
                      </a:rPr>
                      <m:t>𝑦𝑟</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r>
                      <a:rPr lang="en-CA" sz="1100" b="0" i="1">
                        <a:latin typeface="Cambria Math" panose="02040503050406030204" pitchFamily="18" charset="0"/>
                      </a:rPr>
                      <m:t>𝑢𝑠𝑒𝑠</m:t>
                    </m:r>
                    <m:r>
                      <a:rPr lang="en-CA" sz="1100" b="0" i="1">
                        <a:latin typeface="Cambria Math" panose="02040503050406030204" pitchFamily="18" charset="0"/>
                      </a:rPr>
                      <m:t> </m:t>
                    </m:r>
                    <m:r>
                      <a:rPr lang="en-CA" sz="1100" b="0" i="1">
                        <a:latin typeface="Cambria Math" panose="02040503050406030204" pitchFamily="18" charset="0"/>
                      </a:rPr>
                      <m:t>𝐸𝑥𝑐𝑒𝑙</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𝑝𝑎𝑦𝑚𝑒𝑛𝑡</m:t>
                    </m:r>
                    <m:r>
                      <a:rPr lang="en-CA" sz="1100" b="0" i="1">
                        <a:latin typeface="Cambria Math" panose="02040503050406030204" pitchFamily="18" charset="0"/>
                      </a:rPr>
                      <m:t> </m:t>
                    </m:r>
                    <m:r>
                      <a:rPr lang="en-CA" sz="1100" b="0" i="1">
                        <a:latin typeface="Cambria Math" panose="02040503050406030204" pitchFamily="18" charset="0"/>
                      </a:rPr>
                      <m:t>𝑓𝑒𝑎𝑡𝑢𝑟𝑒</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𝑔𝑖𝑣𝑒𝑛</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r>
                      <a:rPr lang="en-CA" sz="1100" b="0" i="1">
                        <a:latin typeface="Cambria Math" panose="02040503050406030204" pitchFamily="18" charset="0"/>
                      </a:rPr>
                      <m:t>𝑎𝑚𝑜𝑢𝑛𝑡</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𝑖𝑛𝑡𝑒𝑟𝑒𝑠𝑡</m:t>
                    </m:r>
                    <m:r>
                      <a:rPr lang="en-CA" sz="1100" b="0" i="1">
                        <a:latin typeface="Cambria Math" panose="02040503050406030204" pitchFamily="18" charset="0"/>
                      </a:rPr>
                      <m:t> </m:t>
                    </m:r>
                    <m:r>
                      <a:rPr lang="en-CA" sz="1100" b="0" i="1">
                        <a:latin typeface="Cambria Math" panose="02040503050406030204" pitchFamily="18" charset="0"/>
                      </a:rPr>
                      <m:t>𝑟𝑎𝑡𝑒</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𝑝𝑎𝑦𝑚𝑒𝑛𝑡𝑠</m:t>
                    </m:r>
                  </m:oMath>
                </m:oMathPara>
              </a14:m>
              <a:endParaRPr lang="en-CA" sz="1100"/>
            </a:p>
          </xdr:txBody>
        </xdr:sp>
      </mc:Choice>
      <mc:Fallback xmlns="">
        <xdr:sp macro="" textlink="">
          <xdr:nvSpPr>
            <xdr:cNvPr id="13" name="TextBox 12"/>
            <xdr:cNvSpPr txBox="1"/>
          </xdr:nvSpPr>
          <xdr:spPr>
            <a:xfrm>
              <a:off x="619125" y="5159375"/>
              <a:ext cx="9944581"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(8)  𝑎𝑛𝑛𝑢𝑎𝑙 𝑝𝑎𝑦𝑚𝑒𝑛𝑡 𝑜𝑛 15−𝑦𝑟 𝑙𝑜𝑎𝑛 ($)=𝑢𝑠𝑒𝑠 𝐸𝑥𝑐𝑒𝑙 𝑎𝑛𝑛𝑢𝑎𝑙 𝑝𝑎𝑦𝑚𝑒𝑛𝑡 𝑓𝑒𝑎𝑡𝑢𝑟𝑒 𝑤𝑖𝑡ℎ 𝑡ℎ𝑒 𝑔𝑖𝑣𝑒𝑛 𝑙𝑜𝑎𝑛 𝑎𝑚𝑜𝑢𝑛𝑡, 𝑎𝑛𝑛𝑢𝑎𝑙 𝑖𝑛𝑡𝑒𝑟𝑒𝑠𝑡 𝑟𝑎𝑡𝑒 𝑎𝑛𝑑 𝑡𝑜𝑡𝑎𝑙 𝑎𝑛𝑛𝑢𝑎𝑙 𝑝𝑎𝑦𝑚𝑒𝑛𝑡𝑠</a:t>
              </a:r>
              <a:endParaRPr lang="en-CA" sz="1100"/>
            </a:p>
          </xdr:txBody>
        </xdr:sp>
      </mc:Fallback>
    </mc:AlternateContent>
    <xdr:clientData/>
  </xdr:oneCellAnchor>
  <xdr:oneCellAnchor>
    <xdr:from>
      <xdr:col>1</xdr:col>
      <xdr:colOff>9525</xdr:colOff>
      <xdr:row>36</xdr:row>
      <xdr:rowOff>9525</xdr:rowOff>
    </xdr:from>
    <xdr:ext cx="7251793" cy="172227"/>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00000000-0008-0000-0600-00000E000000}"/>
                </a:ext>
              </a:extLst>
            </xdr:cNvPr>
            <xdr:cNvSpPr txBox="1"/>
          </xdr:nvSpPr>
          <xdr:spPr>
            <a:xfrm>
              <a:off x="619125" y="6638925"/>
              <a:ext cx="7251793"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11</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r>
                      <a:rPr lang="en-CA" sz="1100" b="0" i="1">
                        <a:latin typeface="Cambria Math" panose="02040503050406030204" pitchFamily="18" charset="0"/>
                      </a:rPr>
                      <m:t> </m:t>
                    </m:r>
                    <m:r>
                      <a:rPr lang="en-CA" sz="1100" b="0" i="1">
                        <a:latin typeface="Cambria Math" panose="02040503050406030204" pitchFamily="18" charset="0"/>
                      </a:rPr>
                      <m:t>𝑖𝑓</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r>
                      <a:rPr lang="en-CA" sz="1100" b="0" i="1">
                        <a:latin typeface="Cambria Math" panose="02040503050406030204" pitchFamily="18" charset="0"/>
                      </a:rPr>
                      <m:t>𝑠𝑝𝑙𝑖𝑡</m:t>
                    </m:r>
                    <m:r>
                      <a:rPr lang="en-CA" sz="1100" b="0" i="1">
                        <a:latin typeface="Cambria Math" panose="02040503050406030204" pitchFamily="18" charset="0"/>
                      </a:rPr>
                      <m:t> </m:t>
                    </m:r>
                    <m:r>
                      <a:rPr lang="en-CA" sz="1100" b="0" i="1">
                        <a:latin typeface="Cambria Math" panose="02040503050406030204" pitchFamily="18" charset="0"/>
                      </a:rPr>
                      <m:t>𝑜𝑣𝑒𝑟</m:t>
                    </m:r>
                    <m:r>
                      <a:rPr lang="en-CA" sz="1100" b="0" i="1">
                        <a:latin typeface="Cambria Math" panose="02040503050406030204" pitchFamily="18" charset="0"/>
                      </a:rPr>
                      <m:t> </m:t>
                    </m:r>
                    <m:r>
                      <a:rPr lang="en-CA" sz="1100" b="0" i="1">
                        <a:latin typeface="Cambria Math" panose="02040503050406030204" pitchFamily="18" charset="0"/>
                      </a:rPr>
                      <m:t>𝑎𝑙𝑙</m:t>
                    </m:r>
                    <m:r>
                      <a:rPr lang="en-CA" sz="1100" b="0" i="1">
                        <a:latin typeface="Cambria Math" panose="02040503050406030204" pitchFamily="18" charset="0"/>
                      </a:rPr>
                      <m:t> </m:t>
                    </m:r>
                    <m:r>
                      <a:rPr lang="en-CA" sz="1100" b="0" i="1">
                        <a:latin typeface="Cambria Math" panose="02040503050406030204" pitchFamily="18" charset="0"/>
                      </a:rPr>
                      <m:t>𝑐𝑢𝑠𝑡𝑜𝑚𝑒𝑟𝑠</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8</m:t>
                        </m:r>
                      </m:e>
                    </m:d>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(10))/(</m:t>
                    </m:r>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𝑘𝑊h</m:t>
                    </m:r>
                    <m:r>
                      <a:rPr lang="en-CA" sz="1100" b="0" i="1">
                        <a:latin typeface="Cambria Math" panose="02040503050406030204" pitchFamily="18" charset="0"/>
                      </a:rPr>
                      <m:t> </m:t>
                    </m:r>
                    <m:r>
                      <a:rPr lang="en-CA" sz="1100" b="0" i="1">
                        <a:latin typeface="Cambria Math" panose="02040503050406030204" pitchFamily="18" charset="0"/>
                      </a:rPr>
                      <m:t>𝑑𝑒𝑚𝑎𝑛𝑑</m:t>
                    </m:r>
                    <m:r>
                      <a:rPr lang="en-CA" sz="1100" b="0" i="1">
                        <a:latin typeface="Cambria Math" panose="02040503050406030204" pitchFamily="18" charset="0"/>
                      </a:rPr>
                      <m:t> </m:t>
                    </m:r>
                    <m:r>
                      <a:rPr lang="en-CA" sz="1100" b="0" i="1">
                        <a:latin typeface="Cambria Math" panose="02040503050406030204" pitchFamily="18" charset="0"/>
                      </a:rPr>
                      <m:t>𝑖𝑛</m:t>
                    </m:r>
                    <m:r>
                      <a:rPr lang="en-CA" sz="1100" b="0" i="1">
                        <a:latin typeface="Cambria Math" panose="02040503050406030204" pitchFamily="18" charset="0"/>
                      </a:rPr>
                      <m:t> </m:t>
                    </m:r>
                    <m:r>
                      <a:rPr lang="en-CA" sz="1100" b="0" i="1">
                        <a:latin typeface="Cambria Math" panose="02040503050406030204" pitchFamily="18" charset="0"/>
                      </a:rPr>
                      <m:t>𝑂𝑁</m:t>
                    </m:r>
                    <m:r>
                      <a:rPr lang="en-CA" sz="1100" b="0" i="1">
                        <a:latin typeface="Cambria Math" panose="02040503050406030204" pitchFamily="18" charset="0"/>
                      </a:rPr>
                      <m:t>)</m:t>
                    </m:r>
                  </m:oMath>
                </m:oMathPara>
              </a14:m>
              <a:endParaRPr lang="en-CA" sz="1100"/>
            </a:p>
          </xdr:txBody>
        </xdr:sp>
      </mc:Choice>
      <mc:Fallback xmlns="">
        <xdr:sp macro="" textlink="">
          <xdr:nvSpPr>
            <xdr:cNvPr id="14" name="TextBox 13"/>
            <xdr:cNvSpPr txBox="1"/>
          </xdr:nvSpPr>
          <xdr:spPr>
            <a:xfrm>
              <a:off x="619125" y="6638925"/>
              <a:ext cx="7251793"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(11)  𝑎𝑛𝑛𝑢𝑎𝑙 𝑐𝑜𝑠𝑡 𝑝𝑒𝑟 𝑘𝑊ℎ 𝑖𝑓 𝑙𝑜𝑎𝑛 𝑠𝑝𝑙𝑖𝑡 𝑜𝑣𝑒𝑟 𝑎𝑙𝑙 𝑐𝑢𝑠𝑡𝑜𝑚𝑒𝑟𝑠=(𝑒𝑞 (8)  𝑜𝑟 𝑒𝑞 (10))/(𝑡𝑜𝑡𝑎𝑙 𝑎𝑛𝑛𝑢𝑎𝑙 𝑘𝑊ℎ 𝑑𝑒𝑚𝑎𝑛𝑑 𝑖𝑛 𝑂𝑁)</a:t>
              </a:r>
              <a:endParaRPr lang="en-CA" sz="1100"/>
            </a:p>
          </xdr:txBody>
        </xdr:sp>
      </mc:Fallback>
    </mc:AlternateContent>
    <xdr:clientData/>
  </xdr:oneCellAnchor>
  <xdr:oneCellAnchor>
    <xdr:from>
      <xdr:col>1</xdr:col>
      <xdr:colOff>15875</xdr:colOff>
      <xdr:row>38</xdr:row>
      <xdr:rowOff>79375</xdr:rowOff>
    </xdr:from>
    <xdr:ext cx="5133975" cy="172227"/>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00000000-0008-0000-0600-00000F000000}"/>
                </a:ext>
              </a:extLst>
            </xdr:cNvPr>
            <xdr:cNvSpPr txBox="1"/>
          </xdr:nvSpPr>
          <xdr:spPr>
            <a:xfrm>
              <a:off x="625475" y="7077075"/>
              <a:ext cx="5133975"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0">
                            <a:latin typeface="Cambria Math" panose="02040503050406030204" pitchFamily="18" charset="0"/>
                          </a:rPr>
                          <m:t>1</m:t>
                        </m:r>
                        <m:r>
                          <a:rPr lang="en-CA" sz="1100" b="0" i="1">
                            <a:latin typeface="Cambria Math" panose="02040503050406030204" pitchFamily="18" charset="0"/>
                          </a:rPr>
                          <m:t>2</m:t>
                        </m:r>
                      </m:e>
                    </m:d>
                    <m:r>
                      <a:rPr lang="en-CA" sz="1100" b="0" i="0">
                        <a:latin typeface="Cambria Math" panose="02040503050406030204" pitchFamily="18" charset="0"/>
                      </a:rPr>
                      <m:t> % </m:t>
                    </m:r>
                    <m:r>
                      <m:rPr>
                        <m:sty m:val="p"/>
                      </m:rPr>
                      <a:rPr lang="en-CA" sz="1100" b="0" i="0">
                        <a:latin typeface="Cambria Math" panose="02040503050406030204" pitchFamily="18" charset="0"/>
                      </a:rPr>
                      <m:t>increase</m:t>
                    </m:r>
                    <m:r>
                      <a:rPr lang="en-CA" sz="1100" b="0" i="0">
                        <a:latin typeface="Cambria Math" panose="02040503050406030204" pitchFamily="18" charset="0"/>
                      </a:rPr>
                      <m:t> </m:t>
                    </m:r>
                    <m:r>
                      <m:rPr>
                        <m:sty m:val="p"/>
                      </m:rPr>
                      <a:rPr lang="en-CA" sz="1100" b="0" i="0">
                        <a:latin typeface="Cambria Math" panose="02040503050406030204" pitchFamily="18" charset="0"/>
                      </a:rPr>
                      <m:t>in</m:t>
                    </m:r>
                    <m:r>
                      <a:rPr lang="en-CA" sz="1100" b="0" i="0">
                        <a:latin typeface="Cambria Math" panose="02040503050406030204" pitchFamily="18" charset="0"/>
                      </a:rPr>
                      <m:t> </m:t>
                    </m:r>
                    <m:r>
                      <m:rPr>
                        <m:sty m:val="p"/>
                      </m:rPr>
                      <a:rPr lang="en-CA" sz="1100" b="0" i="0">
                        <a:latin typeface="Cambria Math" panose="02040503050406030204" pitchFamily="18" charset="0"/>
                      </a:rPr>
                      <m:t>residential</m:t>
                    </m:r>
                    <m:r>
                      <a:rPr lang="en-CA" sz="1100" b="0" i="0">
                        <a:latin typeface="Cambria Math" panose="02040503050406030204" pitchFamily="18" charset="0"/>
                      </a:rPr>
                      <m:t> </m:t>
                    </m:r>
                    <m:r>
                      <m:rPr>
                        <m:sty m:val="p"/>
                      </m:rPr>
                      <a:rPr lang="en-CA" sz="1100" b="0" i="0">
                        <a:latin typeface="Cambria Math" panose="02040503050406030204" pitchFamily="18" charset="0"/>
                      </a:rPr>
                      <m:t>kWh</m:t>
                    </m:r>
                    <m:r>
                      <a:rPr lang="en-CA" sz="1100" b="0" i="0">
                        <a:latin typeface="Cambria Math" panose="02040503050406030204" pitchFamily="18" charset="0"/>
                      </a:rPr>
                      <m:t> </m:t>
                    </m:r>
                    <m:r>
                      <m:rPr>
                        <m:sty m:val="p"/>
                      </m:rPr>
                      <a:rPr lang="en-CA" sz="1100" b="0" i="0">
                        <a:latin typeface="Cambria Math" panose="02040503050406030204" pitchFamily="18" charset="0"/>
                      </a:rPr>
                      <m:t>costs</m:t>
                    </m:r>
                    <m:r>
                      <a:rPr lang="en-CA" sz="1100" b="0" i="0">
                        <a:latin typeface="Cambria Math" panose="02040503050406030204" pitchFamily="18" charset="0"/>
                      </a:rPr>
                      <m:t> </m:t>
                    </m:r>
                    <m:r>
                      <m:rPr>
                        <m:sty m:val="p"/>
                      </m:rPr>
                      <a:rPr lang="en-CA" sz="1100" b="0" i="0">
                        <a:latin typeface="Cambria Math" panose="02040503050406030204" pitchFamily="18" charset="0"/>
                      </a:rPr>
                      <m:t>due</m:t>
                    </m:r>
                    <m:r>
                      <a:rPr lang="en-CA" sz="1100" b="0" i="0">
                        <a:latin typeface="Cambria Math" panose="02040503050406030204" pitchFamily="18" charset="0"/>
                      </a:rPr>
                      <m:t> </m:t>
                    </m:r>
                    <m:r>
                      <m:rPr>
                        <m:sty m:val="p"/>
                      </m:rPr>
                      <a:rPr lang="en-CA" sz="1100" b="0" i="0">
                        <a:latin typeface="Cambria Math" panose="02040503050406030204" pitchFamily="18" charset="0"/>
                      </a:rPr>
                      <m:t>to</m:t>
                    </m:r>
                    <m:r>
                      <a:rPr lang="en-CA" sz="1100" b="0" i="0">
                        <a:latin typeface="Cambria Math" panose="02040503050406030204" pitchFamily="18" charset="0"/>
                      </a:rPr>
                      <m:t> </m:t>
                    </m:r>
                    <m:r>
                      <m:rPr>
                        <m:sty m:val="p"/>
                      </m:rPr>
                      <a:rPr lang="en-CA" sz="1100" b="0" i="0">
                        <a:latin typeface="Cambria Math" panose="02040503050406030204" pitchFamily="18" charset="0"/>
                      </a:rPr>
                      <m:t>the</m:t>
                    </m:r>
                    <m:r>
                      <a:rPr lang="en-CA" sz="1100" b="0" i="0">
                        <a:latin typeface="Cambria Math" panose="02040503050406030204" pitchFamily="18" charset="0"/>
                      </a:rPr>
                      <m:t> </m:t>
                    </m:r>
                    <m:r>
                      <m:rPr>
                        <m:sty m:val="p"/>
                      </m:rPr>
                      <a:rPr lang="en-CA" sz="1100" b="0" i="0">
                        <a:latin typeface="Cambria Math" panose="02040503050406030204" pitchFamily="18" charset="0"/>
                      </a:rPr>
                      <m:t>loan</m:t>
                    </m:r>
                    <m:r>
                      <a:rPr lang="en-CA" sz="1100" b="0" i="0">
                        <a:latin typeface="Cambria Math" panose="02040503050406030204" pitchFamily="18" charset="0"/>
                      </a:rPr>
                      <m:t>=(</m:t>
                    </m:r>
                    <m:r>
                      <m:rPr>
                        <m:sty m:val="p"/>
                      </m:rPr>
                      <a:rPr lang="en-CA" sz="1100" b="0" i="0">
                        <a:latin typeface="Cambria Math" panose="02040503050406030204" pitchFamily="18" charset="0"/>
                      </a:rPr>
                      <m:t>eg</m:t>
                    </m:r>
                    <m:r>
                      <a:rPr lang="en-CA" sz="1100" b="0" i="0">
                        <a:latin typeface="Cambria Math" panose="02040503050406030204" pitchFamily="18" charset="0"/>
                      </a:rPr>
                      <m:t> </m:t>
                    </m:r>
                    <m:d>
                      <m:dPr>
                        <m:ctrlPr>
                          <a:rPr lang="en-CA" sz="1100" b="0" i="1">
                            <a:latin typeface="Cambria Math" panose="02040503050406030204" pitchFamily="18" charset="0"/>
                          </a:rPr>
                        </m:ctrlPr>
                      </m:dPr>
                      <m:e>
                        <m:r>
                          <a:rPr lang="en-CA" sz="1100" b="0" i="0">
                            <a:latin typeface="Cambria Math" panose="02040503050406030204" pitchFamily="18" charset="0"/>
                          </a:rPr>
                          <m:t>11</m:t>
                        </m:r>
                      </m:e>
                    </m:d>
                    <m:r>
                      <a:rPr lang="en-CA" sz="1100" b="0" i="0">
                        <a:latin typeface="Cambria Math" panose="02040503050406030204" pitchFamily="18" charset="0"/>
                      </a:rPr>
                      <m:t>)/(</m:t>
                    </m:r>
                    <m:r>
                      <m:rPr>
                        <m:sty m:val="p"/>
                      </m:rPr>
                      <a:rPr lang="en-CA" sz="1100" b="0" i="0">
                        <a:latin typeface="Cambria Math" panose="02040503050406030204" pitchFamily="18" charset="0"/>
                      </a:rPr>
                      <m:t>cost</m:t>
                    </m:r>
                    <m:r>
                      <a:rPr lang="en-CA" sz="1100" b="0" i="0">
                        <a:latin typeface="Cambria Math" panose="02040503050406030204" pitchFamily="18" charset="0"/>
                      </a:rPr>
                      <m:t> </m:t>
                    </m:r>
                    <m:r>
                      <m:rPr>
                        <m:sty m:val="p"/>
                      </m:rPr>
                      <a:rPr lang="en-CA" sz="1100" b="0" i="0">
                        <a:latin typeface="Cambria Math" panose="02040503050406030204" pitchFamily="18" charset="0"/>
                      </a:rPr>
                      <m:t>per</m:t>
                    </m:r>
                    <m:r>
                      <a:rPr lang="en-CA" sz="1100" b="0" i="0">
                        <a:latin typeface="Cambria Math" panose="02040503050406030204" pitchFamily="18" charset="0"/>
                      </a:rPr>
                      <m:t> </m:t>
                    </m:r>
                    <m:r>
                      <m:rPr>
                        <m:sty m:val="p"/>
                      </m:rPr>
                      <a:rPr lang="en-CA" sz="1100" b="0" i="0">
                        <a:latin typeface="Cambria Math" panose="02040503050406030204" pitchFamily="18" charset="0"/>
                      </a:rPr>
                      <m:t>kWh</m:t>
                    </m:r>
                    <m:r>
                      <a:rPr lang="en-CA" sz="1100" b="0" i="0">
                        <a:latin typeface="Cambria Math" panose="02040503050406030204" pitchFamily="18" charset="0"/>
                      </a:rPr>
                      <m:t>)</m:t>
                    </m:r>
                  </m:oMath>
                </m:oMathPara>
              </a14:m>
              <a:endParaRPr lang="en-CA" sz="1100"/>
            </a:p>
          </xdr:txBody>
        </xdr:sp>
      </mc:Choice>
      <mc:Fallback xmlns="">
        <xdr:sp macro="" textlink="">
          <xdr:nvSpPr>
            <xdr:cNvPr id="15" name="TextBox 14"/>
            <xdr:cNvSpPr txBox="1"/>
          </xdr:nvSpPr>
          <xdr:spPr>
            <a:xfrm>
              <a:off x="625475" y="7077075"/>
              <a:ext cx="5133975" cy="172227"/>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(12)  % increase in residential kWh costs due to the loan=(eg (11))/(cost per kWh)</a:t>
              </a:r>
              <a:endParaRPr lang="en-CA" sz="1100"/>
            </a:p>
          </xdr:txBody>
        </xdr:sp>
      </mc:Fallback>
    </mc:AlternateContent>
    <xdr:clientData/>
  </xdr:oneCellAnchor>
  <xdr:oneCellAnchor>
    <xdr:from>
      <xdr:col>1</xdr:col>
      <xdr:colOff>98425</xdr:colOff>
      <xdr:row>30</xdr:row>
      <xdr:rowOff>15875</xdr:rowOff>
    </xdr:from>
    <xdr:ext cx="5008679" cy="523028"/>
    <mc:AlternateContent xmlns:mc="http://schemas.openxmlformats.org/markup-compatibility/2006" xmlns:a14="http://schemas.microsoft.com/office/drawing/2010/main">
      <mc:Choice Requires="a14">
        <xdr:sp macro="" textlink="">
          <xdr:nvSpPr>
            <xdr:cNvPr id="18" name="TextBox 17">
              <a:extLst>
                <a:ext uri="{FF2B5EF4-FFF2-40B4-BE49-F238E27FC236}">
                  <a16:creationId xmlns:a16="http://schemas.microsoft.com/office/drawing/2014/main" id="{00000000-0008-0000-0600-000012000000}"/>
                </a:ext>
              </a:extLst>
            </xdr:cNvPr>
            <xdr:cNvSpPr txBox="1"/>
          </xdr:nvSpPr>
          <xdr:spPr>
            <a:xfrm>
              <a:off x="708025" y="5540375"/>
              <a:ext cx="5008679" cy="52302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l"/>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9</m:t>
                        </m:r>
                      </m:e>
                    </m:d>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𝑝𝑟𝑖𝑛𝑐𝑖𝑝𝑎𝑙</m:t>
                    </m:r>
                    <m:r>
                      <a:rPr lang="en-CA" sz="1100" b="0" i="1">
                        <a:latin typeface="Cambria Math" panose="02040503050406030204" pitchFamily="18" charset="0"/>
                      </a:rPr>
                      <m:t> </m:t>
                    </m:r>
                    <m:r>
                      <a:rPr lang="en-CA" sz="1100" b="0" i="1">
                        <a:latin typeface="Cambria Math" panose="02040503050406030204" pitchFamily="18" charset="0"/>
                      </a:rPr>
                      <m:t>𝑝𝑎𝑦𝑚𝑒𝑛𝑡</m:t>
                    </m:r>
                    <m:r>
                      <a:rPr lang="en-CA" sz="1100" b="0" i="1">
                        <a:latin typeface="Cambria Math" panose="02040503050406030204" pitchFamily="18" charset="0"/>
                      </a:rPr>
                      <m:t> </m:t>
                    </m:r>
                    <m:r>
                      <a:rPr lang="en-CA" sz="1100" b="0" i="1">
                        <a:latin typeface="Cambria Math" panose="02040503050406030204" pitchFamily="18" charset="0"/>
                      </a:rPr>
                      <m:t>𝑜𝑛</m:t>
                    </m:r>
                    <m:r>
                      <a:rPr lang="en-CA" sz="1100" b="0" i="1">
                        <a:latin typeface="Cambria Math" panose="02040503050406030204" pitchFamily="18" charset="0"/>
                      </a:rPr>
                      <m:t> 15−</m:t>
                    </m:r>
                    <m:r>
                      <a:rPr lang="en-CA" sz="1100" b="0" i="1">
                        <a:latin typeface="Cambria Math" panose="02040503050406030204" pitchFamily="18" charset="0"/>
                      </a:rPr>
                      <m:t>𝑦𝑟</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m:t>
                        </m:r>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num>
                      <m:den>
                        <m:r>
                          <a:rPr lang="en-CA" sz="1100" b="0" i="1">
                            <a:latin typeface="Cambria Math" panose="02040503050406030204" pitchFamily="18" charset="0"/>
                          </a:rPr>
                          <m:t>15 </m:t>
                        </m:r>
                        <m:r>
                          <a:rPr lang="en-CA" sz="1100" b="0" i="1">
                            <a:latin typeface="Cambria Math" panose="02040503050406030204" pitchFamily="18" charset="0"/>
                          </a:rPr>
                          <m:t>𝑦𝑒𝑎𝑟𝑠</m:t>
                        </m:r>
                      </m:den>
                    </m:f>
                  </m:oMath>
                </m:oMathPara>
              </a14:m>
              <a:endParaRPr lang="en-CA" sz="1100" b="0"/>
            </a:p>
            <a:p>
              <a:pPr algn="l"/>
              <a:endParaRPr lang="en-CA" sz="1100"/>
            </a:p>
          </xdr:txBody>
        </xdr:sp>
      </mc:Choice>
      <mc:Fallback xmlns="">
        <xdr:sp macro="" textlink="">
          <xdr:nvSpPr>
            <xdr:cNvPr id="18" name="TextBox 17"/>
            <xdr:cNvSpPr txBox="1"/>
          </xdr:nvSpPr>
          <xdr:spPr>
            <a:xfrm>
              <a:off x="708025" y="5540375"/>
              <a:ext cx="5008679" cy="52302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l"/>
              <a:r>
                <a:rPr lang="en-CA" sz="1100" b="0" i="0">
                  <a:latin typeface="Cambria Math" panose="02040503050406030204" pitchFamily="18" charset="0"/>
                </a:rPr>
                <a:t>(9)𝑎𝑛𝑛𝑢𝑎𝑙 𝑝𝑟𝑖𝑛𝑐𝑖𝑝𝑎𝑙 𝑝𝑎𝑦𝑚𝑒𝑛𝑡 𝑜𝑛 15−𝑦𝑟 𝑙𝑜𝑎𝑛 ($)=(𝑢𝑝𝑓𝑟𝑜𝑛𝑡 𝑐𝑜𝑠𝑡 𝑜𝑓 ℎ𝑒𝑎𝑡 𝑝𝑢𝑚𝑝)/(15 𝑦𝑒𝑎𝑟𝑠)</a:t>
              </a:r>
              <a:endParaRPr lang="en-CA" sz="1100" b="0"/>
            </a:p>
            <a:p>
              <a:pPr algn="l"/>
              <a:endParaRPr lang="en-CA" sz="1100"/>
            </a:p>
          </xdr:txBody>
        </xdr:sp>
      </mc:Fallback>
    </mc:AlternateContent>
    <xdr:clientData/>
  </xdr:oneCellAnchor>
  <xdr:oneCellAnchor>
    <xdr:from>
      <xdr:col>1</xdr:col>
      <xdr:colOff>79375</xdr:colOff>
      <xdr:row>33</xdr:row>
      <xdr:rowOff>161925</xdr:rowOff>
    </xdr:from>
    <xdr:ext cx="4344907" cy="212725"/>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00000000-0008-0000-0600-000013000000}"/>
                </a:ext>
              </a:extLst>
            </xdr:cNvPr>
            <xdr:cNvSpPr txBox="1"/>
          </xdr:nvSpPr>
          <xdr:spPr>
            <a:xfrm>
              <a:off x="688975" y="6238875"/>
              <a:ext cx="4344907" cy="21272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10</m:t>
                        </m:r>
                      </m:e>
                    </m:d>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𝑖𝑛𝑡𝑒𝑟𝑒𝑠𝑡</m:t>
                    </m:r>
                    <m:r>
                      <a:rPr lang="en-CA" sz="1100" b="0" i="1">
                        <a:latin typeface="Cambria Math" panose="02040503050406030204" pitchFamily="18" charset="0"/>
                      </a:rPr>
                      <m:t> </m:t>
                    </m:r>
                    <m:r>
                      <a:rPr lang="en-CA" sz="1100" b="0" i="1">
                        <a:latin typeface="Cambria Math" panose="02040503050406030204" pitchFamily="18" charset="0"/>
                      </a:rPr>
                      <m:t>𝑝𝑎𝑦𝑚𝑒𝑛𝑡</m:t>
                    </m:r>
                    <m:r>
                      <a:rPr lang="en-CA" sz="1100" b="0" i="1">
                        <a:latin typeface="Cambria Math" panose="02040503050406030204" pitchFamily="18" charset="0"/>
                      </a:rPr>
                      <m:t> </m:t>
                    </m:r>
                    <m:r>
                      <a:rPr lang="en-CA" sz="1100" b="0" i="1">
                        <a:latin typeface="Cambria Math" panose="02040503050406030204" pitchFamily="18" charset="0"/>
                      </a:rPr>
                      <m:t>𝑜𝑛</m:t>
                    </m:r>
                    <m:r>
                      <a:rPr lang="en-CA" sz="1100" b="0" i="1">
                        <a:latin typeface="Cambria Math" panose="02040503050406030204" pitchFamily="18" charset="0"/>
                      </a:rPr>
                      <m:t> 15−</m:t>
                    </m:r>
                    <m:r>
                      <a:rPr lang="en-CA" sz="1100" b="0" i="1">
                        <a:latin typeface="Cambria Math" panose="02040503050406030204" pitchFamily="18" charset="0"/>
                      </a:rPr>
                      <m:t>𝑦𝑟</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m:t>
                        </m:r>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8</m:t>
                        </m:r>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9</m:t>
                        </m:r>
                      </m:e>
                    </m:d>
                  </m:oMath>
                </m:oMathPara>
              </a14:m>
              <a:endParaRPr lang="en-CA" sz="1100" b="0"/>
            </a:p>
            <a:p>
              <a:endParaRPr lang="en-CA" sz="1100"/>
            </a:p>
          </xdr:txBody>
        </xdr:sp>
      </mc:Choice>
      <mc:Fallback xmlns="">
        <xdr:sp macro="" textlink="">
          <xdr:nvSpPr>
            <xdr:cNvPr id="19" name="TextBox 18"/>
            <xdr:cNvSpPr txBox="1"/>
          </xdr:nvSpPr>
          <xdr:spPr>
            <a:xfrm>
              <a:off x="688975" y="6238875"/>
              <a:ext cx="4344907" cy="21272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r>
                <a:rPr lang="en-CA" sz="1100" b="0" i="0">
                  <a:latin typeface="Cambria Math" panose="02040503050406030204" pitchFamily="18" charset="0"/>
                </a:rPr>
                <a:t>(10)𝑎𝑛𝑛𝑢𝑎𝑙 𝑖𝑛𝑡𝑒𝑟𝑒𝑠𝑡 𝑝𝑎𝑦𝑚𝑒𝑛𝑡 𝑜𝑛 15−𝑦𝑟 𝑙𝑜𝑎𝑛 ($)=𝑒𝑞 (8)−𝑒𝑞 (9)</a:t>
              </a:r>
              <a:endParaRPr lang="en-CA" sz="1100" b="0"/>
            </a:p>
            <a:p>
              <a:endParaRPr lang="en-CA" sz="1100"/>
            </a:p>
          </xdr:txBody>
        </xdr:sp>
      </mc:Fallback>
    </mc:AlternateContent>
    <xdr:clientData/>
  </xdr:oneCellAnchor>
  <xdr:oneCellAnchor>
    <xdr:from>
      <xdr:col>0</xdr:col>
      <xdr:colOff>593725</xdr:colOff>
      <xdr:row>40</xdr:row>
      <xdr:rowOff>28574</xdr:rowOff>
    </xdr:from>
    <xdr:ext cx="4949825" cy="193675"/>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00000000-0008-0000-0600-000010000000}"/>
                </a:ext>
              </a:extLst>
            </xdr:cNvPr>
            <xdr:cNvSpPr txBox="1"/>
          </xdr:nvSpPr>
          <xdr:spPr>
            <a:xfrm>
              <a:off x="593725" y="7394574"/>
              <a:ext cx="4949825" cy="19367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13</m:t>
                        </m:r>
                      </m:e>
                    </m:d>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r>
                      <a:rPr lang="en-CA" sz="1100" b="0" i="1">
                        <a:latin typeface="Cambria Math" panose="02040503050406030204" pitchFamily="18" charset="0"/>
                      </a:rPr>
                      <m:t> </m:t>
                    </m:r>
                    <m:r>
                      <a:rPr lang="en-CA" sz="1100" b="0" i="1">
                        <a:latin typeface="Cambria Math" panose="02040503050406030204" pitchFamily="18" charset="0"/>
                      </a:rPr>
                      <m:t>𝑠𝑎𝑣𝑒𝑑</m:t>
                    </m:r>
                    <m:r>
                      <a:rPr lang="en-CA" sz="1100" b="0" i="1">
                        <a:latin typeface="Cambria Math" panose="02040503050406030204" pitchFamily="18" charset="0"/>
                      </a:rPr>
                      <m:t>=</m:t>
                    </m:r>
                    <m:d>
                      <m:dPr>
                        <m:ctrlPr>
                          <a:rPr lang="en-CA" sz="1100" b="0" i="1">
                            <a:latin typeface="Cambria Math" panose="02040503050406030204" pitchFamily="18" charset="0"/>
                          </a:rPr>
                        </m:ctrlPr>
                      </m:dPr>
                      <m:e>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9</m:t>
                            </m:r>
                          </m:e>
                        </m:d>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m:t>
                    </m:r>
                    <m:r>
                      <a:rPr lang="en-CA" sz="1100" b="0" i="1">
                        <a:latin typeface="Cambria Math" panose="02040503050406030204" pitchFamily="18" charset="0"/>
                      </a:rPr>
                      <m:t>𝑒𝑞</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m:t>
                    </m:r>
                  </m:oMath>
                </m:oMathPara>
              </a14:m>
              <a:endParaRPr lang="en-CA" sz="1100"/>
            </a:p>
          </xdr:txBody>
        </xdr:sp>
      </mc:Choice>
      <mc:Fallback xmlns="">
        <xdr:sp macro="" textlink="">
          <xdr:nvSpPr>
            <xdr:cNvPr id="16" name="TextBox 15"/>
            <xdr:cNvSpPr txBox="1"/>
          </xdr:nvSpPr>
          <xdr:spPr>
            <a:xfrm>
              <a:off x="593725" y="7394574"/>
              <a:ext cx="4949825" cy="19367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r>
                <a:rPr lang="en-CA" sz="1100" b="0" i="0">
                  <a:latin typeface="Cambria Math" panose="02040503050406030204" pitchFamily="18" charset="0"/>
                </a:rPr>
                <a:t>(13)  𝑐𝑜𝑠𝑡 𝑝𝑒𝑟 𝑘𝑊ℎ 𝑠𝑎𝑣𝑒𝑑=(𝑒𝑞 (9))/(𝑒𝑞 (16)𝑓𝑜𝑟 ℎ𝑒𝑎𝑡𝑖𝑛𝑔+𝑒𝑞(16)𝑓𝑜𝑟 𝑐𝑜𝑜𝑙𝑖𝑛𝑔)</a:t>
              </a:r>
              <a:endParaRPr lang="en-CA" sz="1100"/>
            </a:p>
          </xdr:txBody>
        </xdr:sp>
      </mc:Fallback>
    </mc:AlternateContent>
    <xdr:clientData/>
  </xdr:oneCellAnchor>
  <xdr:oneCellAnchor>
    <xdr:from>
      <xdr:col>0</xdr:col>
      <xdr:colOff>574675</xdr:colOff>
      <xdr:row>42</xdr:row>
      <xdr:rowOff>92075</xdr:rowOff>
    </xdr:from>
    <xdr:ext cx="6206186" cy="264496"/>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574675" y="7826375"/>
              <a:ext cx="6206186" cy="264496"/>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14</m:t>
                      </m:r>
                    </m:e>
                  </m:d>
                  <m:r>
                    <a:rPr lang="en-CA" sz="1100" b="0" i="1">
                      <a:latin typeface="Cambria Math" panose="02040503050406030204" pitchFamily="18" charset="0"/>
                    </a:rPr>
                    <m:t> </m:t>
                  </m:r>
                  <m:r>
                    <a:rPr lang="en-CA" sz="1100" b="0" i="1">
                      <a:latin typeface="Cambria Math" panose="02040503050406030204" pitchFamily="18" charset="0"/>
                    </a:rPr>
                    <m:t>𝑙𝑒𝑣𝑒𝑙𝑖𝑧𝑒𝑑</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𝑒𝑛𝑒𝑟𝑔𝑦</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nary>
                    <m:naryPr>
                      <m:chr m:val="∑"/>
                      <m:ctrlPr>
                        <a:rPr lang="en-CA" sz="1100" b="0" i="1">
                          <a:latin typeface="Cambria Math" panose="02040503050406030204" pitchFamily="18" charset="0"/>
                        </a:rPr>
                      </m:ctrlPr>
                    </m:naryPr>
                    <m:sub>
                      <m:r>
                        <m:rPr>
                          <m:brk m:alnAt="23"/>
                        </m:rPr>
                        <a:rPr lang="en-CA" sz="1100" b="0" i="1">
                          <a:latin typeface="Cambria Math" panose="02040503050406030204" pitchFamily="18" charset="0"/>
                        </a:rPr>
                        <m:t>𝑡</m:t>
                      </m:r>
                      <m:r>
                        <a:rPr lang="en-CA" sz="1100" b="0" i="1">
                          <a:latin typeface="Cambria Math" panose="02040503050406030204" pitchFamily="18" charset="0"/>
                        </a:rPr>
                        <m:t>=1</m:t>
                      </m:r>
                    </m:sub>
                    <m:sup>
                      <m:r>
                        <a:rPr lang="en-CA" sz="1100" b="0" i="1">
                          <a:latin typeface="Cambria Math" panose="02040503050406030204" pitchFamily="18" charset="0"/>
                        </a:rPr>
                        <m:t>𝑙𝑜𝑎𝑛</m:t>
                      </m:r>
                      <m:r>
                        <a:rPr lang="en-CA" sz="1100" b="0" i="1">
                          <a:latin typeface="Cambria Math" panose="02040503050406030204" pitchFamily="18" charset="0"/>
                        </a:rPr>
                        <m:t> </m:t>
                      </m:r>
                      <m:r>
                        <a:rPr lang="en-CA" sz="1100" b="0" i="1">
                          <a:latin typeface="Cambria Math" panose="02040503050406030204" pitchFamily="18" charset="0"/>
                        </a:rPr>
                        <m:t>𝑡𝑒𝑟𝑚</m:t>
                      </m:r>
                    </m:sup>
                    <m:e>
                      <m:f>
                        <m:fPr>
                          <m:ctrlPr>
                            <a:rPr lang="en-CA" sz="1100" b="0" i="1">
                              <a:latin typeface="Cambria Math" panose="02040503050406030204" pitchFamily="18" charset="0"/>
                            </a:rPr>
                          </m:ctrlPr>
                        </m:fPr>
                        <m:num>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𝑙𝑜𝑎𝑛</m:t>
                          </m:r>
                          <m:r>
                            <a:rPr lang="en-CA" sz="1100" b="0" i="1">
                              <a:latin typeface="Cambria Math" panose="02040503050406030204" pitchFamily="18" charset="0"/>
                            </a:rPr>
                            <m:t> </m:t>
                          </m:r>
                          <m:r>
                            <a:rPr lang="en-CA" sz="1100" b="0" i="1">
                              <a:latin typeface="Cambria Math" panose="02040503050406030204" pitchFamily="18" charset="0"/>
                            </a:rPr>
                            <m:t>𝑝𝑎𝑦𝑚𝑒𝑛𝑡</m:t>
                          </m:r>
                        </m:num>
                        <m:den>
                          <m:sSup>
                            <m:sSupPr>
                              <m:ctrlPr>
                                <a:rPr lang="en-CA" sz="1100" b="0" i="1">
                                  <a:latin typeface="Cambria Math" panose="02040503050406030204" pitchFamily="18" charset="0"/>
                                </a:rPr>
                              </m:ctrlPr>
                            </m:sSupPr>
                            <m:e>
                              <m:d>
                                <m:dPr>
                                  <m:ctrlPr>
                                    <a:rPr lang="en-CA" sz="1100" b="0" i="1">
                                      <a:latin typeface="Cambria Math" panose="02040503050406030204" pitchFamily="18" charset="0"/>
                                    </a:rPr>
                                  </m:ctrlPr>
                                </m:dPr>
                                <m:e>
                                  <m:r>
                                    <a:rPr lang="en-CA" sz="1100" b="0" i="1">
                                      <a:latin typeface="Cambria Math" panose="02040503050406030204" pitchFamily="18" charset="0"/>
                                    </a:rPr>
                                    <m:t>1+</m:t>
                                  </m:r>
                                  <m:r>
                                    <a:rPr lang="en-CA" sz="1100" b="0" i="1">
                                      <a:latin typeface="Cambria Math" panose="02040503050406030204" pitchFamily="18" charset="0"/>
                                    </a:rPr>
                                    <m:t>𝑖𝑛𝑡𝑒𝑟𝑒𝑠𝑡</m:t>
                                  </m:r>
                                  <m:r>
                                    <a:rPr lang="en-CA" sz="1100" b="0" i="1">
                                      <a:latin typeface="Cambria Math" panose="02040503050406030204" pitchFamily="18" charset="0"/>
                                    </a:rPr>
                                    <m:t> </m:t>
                                  </m:r>
                                  <m:r>
                                    <a:rPr lang="en-CA" sz="1100" b="0" i="1">
                                      <a:latin typeface="Cambria Math" panose="02040503050406030204" pitchFamily="18" charset="0"/>
                                    </a:rPr>
                                    <m:t>𝑟𝑎𝑡𝑒</m:t>
                                  </m:r>
                                </m:e>
                              </m:d>
                            </m:e>
                            <m:sup>
                              <m:r>
                                <a:rPr lang="en-CA" sz="1100" b="0" i="1">
                                  <a:latin typeface="Cambria Math" panose="02040503050406030204" pitchFamily="18" charset="0"/>
                                </a:rPr>
                                <m:t>𝑡</m:t>
                              </m:r>
                            </m:sup>
                          </m:sSup>
                        </m:den>
                      </m:f>
                    </m:e>
                  </m:nary>
                  <m:r>
                    <a:rPr lang="en-CA" sz="1100" b="0" i="1">
                      <a:latin typeface="Cambria Math" panose="02040503050406030204" pitchFamily="18" charset="0"/>
                    </a:rPr>
                    <m:t>)/</m:t>
                  </m:r>
                  <m:r>
                    <a:rPr lang="en-CA" sz="1100" b="0" i="1">
                      <a:solidFill>
                        <a:schemeClr val="tx1"/>
                      </a:solidFill>
                      <a:effectLst/>
                      <a:latin typeface="Cambria Math" panose="02040503050406030204" pitchFamily="18" charset="0"/>
                      <a:ea typeface="+mn-ea"/>
                      <a:cs typeface="+mn-cs"/>
                    </a:rPr>
                    <m:t>( </m:t>
                  </m:r>
                  <m:nary>
                    <m:naryPr>
                      <m:chr m:val="∑"/>
                      <m:ctrlPr>
                        <a:rPr lang="en-CA" sz="1100" b="0" i="1">
                          <a:solidFill>
                            <a:schemeClr val="tx1"/>
                          </a:solidFill>
                          <a:effectLst/>
                          <a:latin typeface="Cambria Math" panose="02040503050406030204" pitchFamily="18" charset="0"/>
                          <a:ea typeface="+mn-ea"/>
                          <a:cs typeface="+mn-cs"/>
                        </a:rPr>
                      </m:ctrlPr>
                    </m:naryPr>
                    <m:sub>
                      <m:r>
                        <m:rPr>
                          <m:brk m:alnAt="23"/>
                        </m:rPr>
                        <a:rPr lang="en-CA" sz="1100" b="0" i="1">
                          <a:solidFill>
                            <a:schemeClr val="tx1"/>
                          </a:solidFill>
                          <a:effectLst/>
                          <a:latin typeface="Cambria Math" panose="02040503050406030204" pitchFamily="18" charset="0"/>
                          <a:ea typeface="+mn-ea"/>
                          <a:cs typeface="+mn-cs"/>
                        </a:rPr>
                        <m:t>𝑡</m:t>
                      </m:r>
                      <m:r>
                        <a:rPr lang="en-CA" sz="1100" b="0" i="1">
                          <a:solidFill>
                            <a:schemeClr val="tx1"/>
                          </a:solidFill>
                          <a:effectLst/>
                          <a:latin typeface="Cambria Math" panose="02040503050406030204" pitchFamily="18" charset="0"/>
                          <a:ea typeface="+mn-ea"/>
                          <a:cs typeface="+mn-cs"/>
                        </a:rPr>
                        <m:t>=1</m:t>
                      </m:r>
                    </m:sub>
                    <m:sup>
                      <m:r>
                        <a:rPr lang="en-CA" sz="1100" b="0" i="1">
                          <a:solidFill>
                            <a:schemeClr val="tx1"/>
                          </a:solidFill>
                          <a:effectLst/>
                          <a:latin typeface="Cambria Math" panose="02040503050406030204" pitchFamily="18" charset="0"/>
                          <a:ea typeface="+mn-ea"/>
                          <a:cs typeface="+mn-cs"/>
                        </a:rPr>
                        <m:t>𝑙𝑜𝑎𝑛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𝑡𝑒𝑟𝑚</m:t>
                      </m:r>
                    </m:sup>
                    <m:e>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𝑎𝑛𝑛𝑢𝑎𝑙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𝑠𝑎𝑣𝑒𝑑</m:t>
                          </m:r>
                        </m:num>
                        <m:den>
                          <m:sSup>
                            <m:sSupPr>
                              <m:ctrlPr>
                                <a:rPr lang="en-CA" sz="1100" b="0" i="1">
                                  <a:solidFill>
                                    <a:schemeClr val="tx1"/>
                                  </a:solidFill>
                                  <a:effectLst/>
                                  <a:latin typeface="Cambria Math" panose="02040503050406030204" pitchFamily="18" charset="0"/>
                                  <a:ea typeface="+mn-ea"/>
                                  <a:cs typeface="+mn-cs"/>
                                </a:rPr>
                              </m:ctrlPr>
                            </m:sSupPr>
                            <m:e>
                              <m:d>
                                <m:dPr>
                                  <m:ctrlPr>
                                    <a:rPr lang="en-CA" sz="1100" b="0" i="1">
                                      <a:solidFill>
                                        <a:schemeClr val="tx1"/>
                                      </a:solidFill>
                                      <a:effectLst/>
                                      <a:latin typeface="Cambria Math" panose="02040503050406030204" pitchFamily="18" charset="0"/>
                                      <a:ea typeface="+mn-ea"/>
                                      <a:cs typeface="+mn-cs"/>
                                    </a:rPr>
                                  </m:ctrlPr>
                                </m:dPr>
                                <m:e>
                                  <m:r>
                                    <a:rPr lang="en-CA" sz="1100" b="0" i="1">
                                      <a:solidFill>
                                        <a:schemeClr val="tx1"/>
                                      </a:solidFill>
                                      <a:effectLst/>
                                      <a:latin typeface="Cambria Math" panose="02040503050406030204" pitchFamily="18" charset="0"/>
                                      <a:ea typeface="+mn-ea"/>
                                      <a:cs typeface="+mn-cs"/>
                                    </a:rPr>
                                    <m:t>1+</m:t>
                                  </m:r>
                                  <m:r>
                                    <a:rPr lang="en-CA" sz="1100" b="0" i="1">
                                      <a:solidFill>
                                        <a:schemeClr val="tx1"/>
                                      </a:solidFill>
                                      <a:effectLst/>
                                      <a:latin typeface="Cambria Math" panose="02040503050406030204" pitchFamily="18" charset="0"/>
                                      <a:ea typeface="+mn-ea"/>
                                      <a:cs typeface="+mn-cs"/>
                                    </a:rPr>
                                    <m:t>𝑖𝑛𝑡𝑒𝑟𝑒𝑠𝑡</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𝑟𝑎𝑡𝑒</m:t>
                                  </m:r>
                                </m:e>
                              </m:d>
                            </m:e>
                            <m:sup>
                              <m:r>
                                <a:rPr lang="en-CA" sz="1100" b="0" i="1">
                                  <a:solidFill>
                                    <a:schemeClr val="tx1"/>
                                  </a:solidFill>
                                  <a:effectLst/>
                                  <a:latin typeface="Cambria Math" panose="02040503050406030204" pitchFamily="18" charset="0"/>
                                  <a:ea typeface="+mn-ea"/>
                                  <a:cs typeface="+mn-cs"/>
                                </a:rPr>
                                <m:t>𝑡</m:t>
                              </m:r>
                            </m:sup>
                          </m:sSup>
                        </m:den>
                      </m:f>
                    </m:e>
                  </m:nary>
                  <m:r>
                    <a:rPr lang="en-CA" sz="1100" b="0" i="1">
                      <a:latin typeface="Cambria Math" panose="02040503050406030204" pitchFamily="18" charset="0"/>
                    </a:rPr>
                    <m:t> </m:t>
                  </m:r>
                </m:oMath>
              </a14:m>
              <a:r>
                <a:rPr lang="en-CA" sz="1100"/>
                <a:t>)</a:t>
              </a:r>
            </a:p>
          </xdr:txBody>
        </xdr:sp>
      </mc:Choice>
      <mc:Fallback xmlns="">
        <xdr:sp macro="" textlink="">
          <xdr:nvSpPr>
            <xdr:cNvPr id="17" name="TextBox 16"/>
            <xdr:cNvSpPr txBox="1"/>
          </xdr:nvSpPr>
          <xdr:spPr>
            <a:xfrm>
              <a:off x="574675" y="7826375"/>
              <a:ext cx="6206186" cy="264496"/>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(14)  𝑙𝑒𝑣𝑒𝑙𝑖𝑧𝑒𝑑 𝑐𝑜𝑠𝑡 𝑜𝑓 𝑒𝑛𝑒𝑟𝑔𝑦 𝑠𝑎𝑣𝑖𝑛𝑔𝑠=( ∑24_(𝑡=1)^(𝑙𝑜𝑎𝑛 𝑡𝑒𝑟𝑚)▒(𝑎𝑛𝑛𝑢𝑎𝑙 𝑙𝑜𝑎𝑛 𝑝𝑎𝑦𝑚𝑒𝑛𝑡)/(1+𝑖𝑛𝑡𝑒𝑟𝑒𝑠𝑡 𝑟𝑎𝑡𝑒)^𝑡 )/</a:t>
              </a:r>
              <a:r>
                <a:rPr lang="en-CA" sz="1100" b="0" i="0">
                  <a:solidFill>
                    <a:schemeClr val="tx1"/>
                  </a:solidFill>
                  <a:effectLst/>
                  <a:latin typeface="+mn-lt"/>
                  <a:ea typeface="+mn-ea"/>
                  <a:cs typeface="+mn-cs"/>
                </a:rPr>
                <a:t>( ∑_(𝑡=1)^(𝑙𝑜𝑎𝑛 𝑡𝑒𝑟𝑚)▒(𝑎𝑛𝑛𝑢𝑎𝑙</a:t>
              </a:r>
              <a:r>
                <a:rPr lang="en-CA" sz="1100" b="0" i="0">
                  <a:solidFill>
                    <a:schemeClr val="tx1"/>
                  </a:solidFill>
                  <a:effectLst/>
                  <a:latin typeface="Cambria Math" panose="02040503050406030204" pitchFamily="18" charset="0"/>
                  <a:ea typeface="+mn-ea"/>
                  <a:cs typeface="+mn-cs"/>
                </a:rPr>
                <a:t> 𝑘𝑊ℎ 𝑠𝑎𝑣𝑒𝑑</a:t>
              </a:r>
              <a:r>
                <a:rPr lang="en-CA" sz="1100" b="0" i="0">
                  <a:solidFill>
                    <a:schemeClr val="tx1"/>
                  </a:solidFill>
                  <a:effectLst/>
                  <a:latin typeface="+mn-lt"/>
                  <a:ea typeface="+mn-ea"/>
                  <a:cs typeface="+mn-cs"/>
                </a:rPr>
                <a:t>)/(1+𝑖𝑛𝑡𝑒𝑟𝑒𝑠𝑡 𝑟𝑎𝑡𝑒)^𝑡 </a:t>
              </a:r>
              <a:r>
                <a:rPr lang="en-CA" sz="1100" b="0" i="0">
                  <a:solidFill>
                    <a:schemeClr val="tx1"/>
                  </a:solidFill>
                  <a:effectLst/>
                  <a:latin typeface="Cambria Math" panose="02040503050406030204" pitchFamily="18" charset="0"/>
                  <a:ea typeface="+mn-ea"/>
                  <a:cs typeface="+mn-cs"/>
                </a:rPr>
                <a:t> </a:t>
              </a:r>
              <a:r>
                <a:rPr lang="en-CA" sz="1100" b="0" i="0">
                  <a:latin typeface="Cambria Math" panose="02040503050406030204" pitchFamily="18" charset="0"/>
                </a:rPr>
                <a:t> </a:t>
              </a:r>
              <a:r>
                <a:rPr lang="en-CA" sz="1100"/>
                <a:t>)</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7</xdr:row>
      <xdr:rowOff>9525</xdr:rowOff>
    </xdr:from>
    <xdr:ext cx="4434997" cy="441325"/>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0" y="1114425"/>
              <a:ext cx="4434997" cy="44132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𝑎𝑣𝑒𝑟𝑎𝑔𝑒</m:t>
                    </m:r>
                    <m:r>
                      <a:rPr lang="en-CA" sz="1100" b="0" i="1">
                        <a:latin typeface="Cambria Math" panose="02040503050406030204" pitchFamily="18" charset="0"/>
                      </a:rPr>
                      <m:t> </m:t>
                    </m:r>
                    <m:r>
                      <a:rPr lang="en-CA" sz="1100" b="0" i="1">
                        <a:latin typeface="Cambria Math" panose="02040503050406030204" pitchFamily="18" charset="0"/>
                      </a:rPr>
                      <m:t>𝑇𝑂𝑈</m:t>
                    </m:r>
                    <m:r>
                      <a:rPr lang="en-CA" sz="1100" b="0" i="1">
                        <a:latin typeface="Cambria Math" panose="02040503050406030204" pitchFamily="18" charset="0"/>
                      </a:rPr>
                      <m:t> </m:t>
                    </m:r>
                    <m:r>
                      <a:rPr lang="en-CA" sz="1100" b="0" i="1">
                        <a:latin typeface="Cambria Math" panose="02040503050406030204" pitchFamily="18" charset="0"/>
                      </a:rPr>
                      <m:t>𝑒𝑙𝑒𝑐𝑡𝑟𝑖𝑐𝑖𝑡𝑦</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nary>
                      <m:naryPr>
                        <m:chr m:val="∑"/>
                        <m:subHide m:val="on"/>
                        <m:supHide m:val="on"/>
                        <m:ctrlPr>
                          <a:rPr lang="en-CA" sz="1100" b="0" i="1">
                            <a:latin typeface="Cambria Math" panose="02040503050406030204" pitchFamily="18" charset="0"/>
                          </a:rPr>
                        </m:ctrlPr>
                      </m:naryPr>
                      <m:sub/>
                      <m:sup/>
                      <m:e>
                        <m:d>
                          <m:dPr>
                            <m:ctrlPr>
                              <a:rPr lang="en-CA" sz="1100" b="0" i="1">
                                <a:latin typeface="Cambria Math" panose="02040503050406030204" pitchFamily="18" charset="0"/>
                              </a:rPr>
                            </m:ctrlPr>
                          </m:dPr>
                          <m:e>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𝑡𝑖𝑚𝑒</m:t>
                            </m:r>
                          </m:e>
                        </m:d>
                        <m:r>
                          <a:rPr lang="en-CA" sz="1100" b="0" i="1">
                            <a:latin typeface="Cambria Math" panose="02040503050406030204" pitchFamily="18" charset="0"/>
                          </a:rPr>
                          <m:t>∗</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𝑘𝑊h</m:t>
                        </m:r>
                      </m:e>
                    </m:nary>
                  </m:oMath>
                </m:oMathPara>
              </a14:m>
              <a:endParaRPr lang="en-CA" sz="1100" b="0"/>
            </a:p>
            <a:p>
              <a:endParaRPr lang="en-CA" sz="1100"/>
            </a:p>
          </xdr:txBody>
        </xdr:sp>
      </mc:Choice>
      <mc:Fallback xmlns="">
        <xdr:sp macro="" textlink="">
          <xdr:nvSpPr>
            <xdr:cNvPr id="2" name="TextBox 1"/>
            <xdr:cNvSpPr txBox="1"/>
          </xdr:nvSpPr>
          <xdr:spPr>
            <a:xfrm>
              <a:off x="0" y="1114425"/>
              <a:ext cx="4434997" cy="44132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i="0">
                  <a:latin typeface="Cambria Math" panose="02040503050406030204" pitchFamily="18" charset="0"/>
                </a:rPr>
                <a:t>𝑎𝑣𝑒𝑟𝑎𝑔𝑒 𝑇𝑂𝑈 𝑒𝑙𝑒𝑐𝑡𝑟𝑖𝑐𝑖𝑡𝑦 𝑐𝑜𝑠𝑡= ∑▒〖(% 𝑜𝑓 𝑡𝑖𝑚𝑒)∗𝑐𝑜𝑠𝑡/𝑘𝑊ℎ〗</a:t>
              </a:r>
              <a:endParaRPr lang="en-CA" sz="1100" b="0"/>
            </a:p>
            <a:p>
              <a:endParaRPr lang="en-CA" sz="1100"/>
            </a:p>
          </xdr:txBody>
        </xdr:sp>
      </mc:Fallback>
    </mc:AlternateContent>
    <xdr:clientData/>
  </xdr:oneCellAnchor>
  <xdr:oneCellAnchor>
    <xdr:from>
      <xdr:col>0</xdr:col>
      <xdr:colOff>9525</xdr:colOff>
      <xdr:row>44</xdr:row>
      <xdr:rowOff>9525</xdr:rowOff>
    </xdr:from>
    <xdr:ext cx="6456832" cy="538545"/>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9525" y="8112125"/>
              <a:ext cx="6456832" cy="53854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𝑎𝑣𝑒𝑟𝑎𝑔𝑒</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𝑙𝑜𝑎𝑑</m:t>
                    </m:r>
                    <m:d>
                      <m:dPr>
                        <m:ctrlPr>
                          <a:rPr lang="en-CA" sz="1100" b="0" i="1">
                            <a:latin typeface="Cambria Math" panose="02040503050406030204" pitchFamily="18" charset="0"/>
                          </a:rPr>
                        </m:ctrlPr>
                      </m:dPr>
                      <m:e>
                        <m:r>
                          <a:rPr lang="en-CA" sz="1100" b="0" i="1">
                            <a:latin typeface="Cambria Math" panose="02040503050406030204" pitchFamily="18" charset="0"/>
                          </a:rPr>
                          <m:t>𝐺𝐽</m:t>
                        </m:r>
                      </m:e>
                    </m:d>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𝑒𝑛𝑒𝑟𝑔𝑦</m:t>
                    </m:r>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1000000</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𝑃𝐽</m:t>
                            </m:r>
                          </m:den>
                        </m:f>
                      </m:num>
                      <m:den>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𝑛𝑢𝑚𝑏𝑒𝑟</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h𝑜𝑚𝑒𝑠</m:t>
                        </m:r>
                      </m:den>
                    </m:f>
                    <m:r>
                      <a:rPr lang="en-CA" sz="1100" b="0" i="1">
                        <a:latin typeface="Cambria Math" panose="02040503050406030204" pitchFamily="18" charset="0"/>
                      </a:rPr>
                      <m:t>∗</m:t>
                    </m:r>
                    <m:nary>
                      <m:naryPr>
                        <m:chr m:val="∑"/>
                        <m:subHide m:val="on"/>
                        <m:supHide m:val="on"/>
                        <m:ctrlPr>
                          <a:rPr lang="en-CA" sz="1100" b="0" i="1">
                            <a:latin typeface="Cambria Math" panose="02040503050406030204" pitchFamily="18" charset="0"/>
                          </a:rPr>
                        </m:ctrlPr>
                      </m:naryPr>
                      <m:sub/>
                      <m:sup/>
                      <m:e>
                        <m:r>
                          <a:rPr lang="en-CA" sz="1100" b="0" i="1">
                            <a:latin typeface="Cambria Math" panose="02040503050406030204" pitchFamily="18" charset="0"/>
                          </a:rPr>
                          <m:t>𝑠h𝑎𝑟𝑒</m:t>
                        </m:r>
                        <m:r>
                          <a:rPr lang="en-CA" sz="1100" b="0" i="1">
                            <a:latin typeface="Cambria Math" panose="02040503050406030204" pitchFamily="18" charset="0"/>
                          </a:rPr>
                          <m:t>∗</m:t>
                        </m:r>
                        <m:r>
                          <a:rPr lang="en-CA" sz="1100" b="0" i="1">
                            <a:latin typeface="Cambria Math" panose="02040503050406030204" pitchFamily="18" charset="0"/>
                          </a:rPr>
                          <m:t>𝑒𝑓𝑓𝑖𝑐𝑖𝑒𝑛𝑐𝑦</m:t>
                        </m:r>
                      </m:e>
                    </m:nary>
                  </m:oMath>
                </m:oMathPara>
              </a14:m>
              <a:endParaRPr lang="en-CA" sz="1100" b="0"/>
            </a:p>
          </xdr:txBody>
        </xdr:sp>
      </mc:Choice>
      <mc:Fallback xmlns="">
        <xdr:sp macro="" textlink="">
          <xdr:nvSpPr>
            <xdr:cNvPr id="3" name="TextBox 2"/>
            <xdr:cNvSpPr txBox="1"/>
          </xdr:nvSpPr>
          <xdr:spPr>
            <a:xfrm>
              <a:off x="9525" y="8112125"/>
              <a:ext cx="6456832" cy="53854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𝑎𝑣𝑒𝑟𝑎𝑔𝑒 ℎ𝑒𝑎𝑡 𝑙𝑜𝑎𝑑(𝐺𝐽)=𝑡𝑜𝑡𝑎𝑙 ℎ𝑜𝑚𝑒 ℎ𝑒𝑎𝑡𝑖𝑛𝑔 𝑒𝑛𝑒𝑟𝑔𝑦∗(1000000 𝐺𝐽/𝑃𝐽)/(𝑡𝑜𝑡𝑎𝑙 𝑛𝑢𝑚𝑏𝑒𝑟 𝑜𝑓 ℎ𝑜𝑚𝑒𝑠)∗∑▒〖𝑠ℎ𝑎𝑟𝑒∗𝑒𝑓𝑓𝑖𝑐𝑖𝑒𝑛𝑐𝑦〗</a:t>
              </a:r>
              <a:endParaRPr lang="en-CA" sz="1100" b="0"/>
            </a:p>
          </xdr:txBody>
        </xdr:sp>
      </mc:Fallback>
    </mc:AlternateContent>
    <xdr:clientData/>
  </xdr:oneCellAnchor>
  <xdr:oneCellAnchor>
    <xdr:from>
      <xdr:col>0</xdr:col>
      <xdr:colOff>238125</xdr:colOff>
      <xdr:row>80</xdr:row>
      <xdr:rowOff>149225</xdr:rowOff>
    </xdr:from>
    <xdr:ext cx="65" cy="172227"/>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238125" y="110140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0</xdr:col>
      <xdr:colOff>238125</xdr:colOff>
      <xdr:row>80</xdr:row>
      <xdr:rowOff>149225</xdr:rowOff>
    </xdr:from>
    <xdr:ext cx="2228110" cy="175369"/>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238125" y="11014075"/>
              <a:ext cx="2228110" cy="17536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𝐸𝐸𝑅</m:t>
                    </m:r>
                    <m:r>
                      <a:rPr lang="en-CA" sz="1100" b="0" i="1">
                        <a:latin typeface="Cambria Math" panose="02040503050406030204" pitchFamily="18" charset="0"/>
                      </a:rPr>
                      <m:t>=1.12∗</m:t>
                    </m:r>
                    <m:r>
                      <a:rPr lang="en-CA" sz="1100" b="0" i="1">
                        <a:latin typeface="Cambria Math" panose="02040503050406030204" pitchFamily="18" charset="0"/>
                      </a:rPr>
                      <m:t>𝑆𝐸𝐸𝑅</m:t>
                    </m:r>
                    <m:r>
                      <a:rPr lang="en-CA" sz="1100" b="0" i="1">
                        <a:latin typeface="Cambria Math" panose="02040503050406030204" pitchFamily="18" charset="0"/>
                      </a:rPr>
                      <m:t> −0.02∗</m:t>
                    </m:r>
                    <m:sSup>
                      <m:sSupPr>
                        <m:ctrlPr>
                          <a:rPr lang="en-CA" sz="1100" b="0" i="1">
                            <a:latin typeface="Cambria Math" panose="02040503050406030204" pitchFamily="18" charset="0"/>
                          </a:rPr>
                        </m:ctrlPr>
                      </m:sSupPr>
                      <m:e>
                        <m:r>
                          <a:rPr lang="en-CA" sz="1100" b="0" i="1">
                            <a:latin typeface="Cambria Math" panose="02040503050406030204" pitchFamily="18" charset="0"/>
                          </a:rPr>
                          <m:t>𝑆𝐸𝐸𝑅</m:t>
                        </m:r>
                      </m:e>
                      <m:sup>
                        <m:r>
                          <a:rPr lang="en-CA" sz="1100" b="0" i="1">
                            <a:latin typeface="Cambria Math" panose="02040503050406030204" pitchFamily="18" charset="0"/>
                          </a:rPr>
                          <m:t>2</m:t>
                        </m:r>
                      </m:sup>
                    </m:sSup>
                  </m:oMath>
                </m:oMathPara>
              </a14:m>
              <a:endParaRPr lang="en-CA" sz="1100"/>
            </a:p>
          </xdr:txBody>
        </xdr:sp>
      </mc:Choice>
      <mc:Fallback xmlns="">
        <xdr:sp macro="" textlink="">
          <xdr:nvSpPr>
            <xdr:cNvPr id="5" name="TextBox 4"/>
            <xdr:cNvSpPr txBox="1"/>
          </xdr:nvSpPr>
          <xdr:spPr>
            <a:xfrm>
              <a:off x="238125" y="11014075"/>
              <a:ext cx="2228110" cy="17536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𝐸𝐸𝑅=1.12∗𝑆𝐸𝐸𝑅 −0.02∗〖𝑆𝐸𝐸𝑅〗^2</a:t>
              </a:r>
              <a:endParaRPr lang="en-CA" sz="1100"/>
            </a:p>
          </xdr:txBody>
        </xdr:sp>
      </mc:Fallback>
    </mc:AlternateContent>
    <xdr:clientData/>
  </xdr:oneCellAnchor>
  <xdr:oneCellAnchor>
    <xdr:from>
      <xdr:col>0</xdr:col>
      <xdr:colOff>257175</xdr:colOff>
      <xdr:row>83</xdr:row>
      <xdr:rowOff>60325</xdr:rowOff>
    </xdr:from>
    <xdr:ext cx="827471" cy="316946"/>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0700-000006000000}"/>
                </a:ext>
              </a:extLst>
            </xdr:cNvPr>
            <xdr:cNvSpPr txBox="1"/>
          </xdr:nvSpPr>
          <xdr:spPr>
            <a:xfrm>
              <a:off x="257175" y="11477625"/>
              <a:ext cx="827471" cy="316946"/>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𝐶𝑂𝑃</m:t>
                    </m:r>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𝐸𝐸𝑅</m:t>
                        </m:r>
                      </m:num>
                      <m:den>
                        <m:r>
                          <a:rPr lang="en-CA" sz="1100" b="0" i="1">
                            <a:latin typeface="Cambria Math" panose="02040503050406030204" pitchFamily="18" charset="0"/>
                          </a:rPr>
                          <m:t>3.413</m:t>
                        </m:r>
                      </m:den>
                    </m:f>
                  </m:oMath>
                </m:oMathPara>
              </a14:m>
              <a:endParaRPr lang="en-CA" sz="1100" b="0"/>
            </a:p>
          </xdr:txBody>
        </xdr:sp>
      </mc:Choice>
      <mc:Fallback xmlns="">
        <xdr:sp macro="" textlink="">
          <xdr:nvSpPr>
            <xdr:cNvPr id="6" name="TextBox 5"/>
            <xdr:cNvSpPr txBox="1"/>
          </xdr:nvSpPr>
          <xdr:spPr>
            <a:xfrm>
              <a:off x="257175" y="11477625"/>
              <a:ext cx="827471" cy="316946"/>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𝐶𝑂𝑃=𝐸𝐸𝑅/3.413</a:t>
              </a:r>
              <a:endParaRPr lang="en-CA" sz="1100" b="0"/>
            </a:p>
          </xdr:txBody>
        </xdr:sp>
      </mc:Fallback>
    </mc:AlternateContent>
    <xdr:clientData/>
  </xdr:oneCellAnchor>
  <xdr:oneCellAnchor>
    <xdr:from>
      <xdr:col>0</xdr:col>
      <xdr:colOff>98425</xdr:colOff>
      <xdr:row>60</xdr:row>
      <xdr:rowOff>161925</xdr:rowOff>
    </xdr:from>
    <xdr:ext cx="5675721" cy="260392"/>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0700-000007000000}"/>
                </a:ext>
              </a:extLst>
            </xdr:cNvPr>
            <xdr:cNvSpPr txBox="1"/>
          </xdr:nvSpPr>
          <xdr:spPr>
            <a:xfrm>
              <a:off x="98425" y="10658475"/>
              <a:ext cx="5675721" cy="260392"/>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 xmlns:m="http://schemas.openxmlformats.org/officeDocument/2006/math">
                  <m:r>
                    <a:rPr lang="en-CA" sz="1100" b="0" i="1">
                      <a:latin typeface="Cambria Math" panose="02040503050406030204" pitchFamily="18" charset="0"/>
                    </a:rPr>
                    <m:t>𝑎𝑣𝑒𝑟𝑎𝑔𝑒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d>
                    <m:dPr>
                      <m:ctrlPr>
                        <a:rPr lang="en-CA" sz="1100" b="0" i="1">
                          <a:latin typeface="Cambria Math" panose="02040503050406030204" pitchFamily="18" charset="0"/>
                        </a:rPr>
                      </m:ctrlPr>
                    </m:dPr>
                    <m:e>
                      <m:r>
                        <a:rPr lang="en-CA" sz="1100" b="0" i="1">
                          <a:latin typeface="Cambria Math" panose="02040503050406030204" pitchFamily="18" charset="0"/>
                        </a:rPr>
                        <m:t>𝐺𝐽</m:t>
                      </m:r>
                    </m:e>
                  </m:d>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𝑒𝑛𝑒𝑟𝑔𝑦</m:t>
                  </m:r>
                  <m:r>
                    <a:rPr lang="en-CA" sz="1100" b="0" i="1">
                      <a:latin typeface="Cambria Math" panose="02040503050406030204" pitchFamily="18" charset="0"/>
                    </a:rPr>
                    <m:t>∗1000000</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𝑃𝐽</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𝐶𝑂𝑃</m:t>
                      </m:r>
                    </m:num>
                    <m:den>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𝑛𝑢𝑚𝑏𝑒𝑟</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h𝑜𝑚𝑒𝑠</m:t>
                      </m:r>
                    </m:den>
                  </m:f>
                </m:oMath>
              </a14:m>
              <a:r>
                <a:rPr lang="en-CA" sz="1100"/>
                <a:t> </a:t>
              </a:r>
            </a:p>
          </xdr:txBody>
        </xdr:sp>
      </mc:Choice>
      <mc:Fallback xmlns="">
        <xdr:sp macro="" textlink="">
          <xdr:nvSpPr>
            <xdr:cNvPr id="7" name="TextBox 6"/>
            <xdr:cNvSpPr txBox="1"/>
          </xdr:nvSpPr>
          <xdr:spPr>
            <a:xfrm>
              <a:off x="98425" y="10658475"/>
              <a:ext cx="5675721" cy="260392"/>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𝑎𝑣𝑒𝑟𝑎𝑔𝑒 𝑐𝑜𝑜𝑙𝑖𝑛𝑔 𝑙𝑜𝑎𝑑(𝐺𝐽)=𝑡𝑜𝑡𝑎𝑙 ℎ𝑜𝑚𝑒 𝑐𝑜𝑜𝑙𝑖𝑛𝑔  𝑒𝑛𝑒𝑟𝑔𝑦∗1000000 𝐺𝐽/𝑃𝐽∗𝐶𝑂𝑃/(𝑡𝑜𝑡𝑎𝑙 𝑛𝑢𝑚𝑏𝑒𝑟 𝑜𝑓 ℎ𝑜𝑚𝑒𝑠)</a:t>
              </a:r>
              <a:r>
                <a:rPr lang="en-CA" sz="1100"/>
                <a:t> </a:t>
              </a:r>
            </a:p>
          </xdr:txBody>
        </xdr:sp>
      </mc:Fallback>
    </mc:AlternateContent>
    <xdr:clientData/>
  </xdr:oneCellAnchor>
  <xdr:oneCellAnchor>
    <xdr:from>
      <xdr:col>0</xdr:col>
      <xdr:colOff>314325</xdr:colOff>
      <xdr:row>74</xdr:row>
      <xdr:rowOff>180975</xdr:rowOff>
    </xdr:from>
    <xdr:ext cx="10924786" cy="409920"/>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00000000-0008-0000-0700-000008000000}"/>
                </a:ext>
              </a:extLst>
            </xdr:cNvPr>
            <xdr:cNvSpPr txBox="1"/>
          </xdr:nvSpPr>
          <xdr:spPr>
            <a:xfrm>
              <a:off x="314325" y="13808075"/>
              <a:ext cx="10924786" cy="40992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𝑎𝑑𝑗𝑢𝑠𝑡𝑒𝑑</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𝑒𝑛𝑒𝑟𝑔𝑦</m:t>
                    </m:r>
                    <m:r>
                      <a:rPr lang="en-CA" sz="1100" b="0" i="1">
                        <a:latin typeface="Cambria Math" panose="02040503050406030204" pitchFamily="18" charset="0"/>
                      </a:rPr>
                      <m:t> </m:t>
                    </m:r>
                    <m:r>
                      <a:rPr lang="en-CA" sz="1100" b="0" i="1">
                        <a:latin typeface="Cambria Math" panose="02040503050406030204" pitchFamily="18" charset="0"/>
                      </a:rPr>
                      <m:t>𝑢𝑠𝑒</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𝑑𝑒𝑡𝑎𝑐h𝑒𝑑</m:t>
                    </m:r>
                    <m:r>
                      <a:rPr lang="en-CA" sz="1100" b="0" i="1">
                        <a:latin typeface="Cambria Math" panose="02040503050406030204" pitchFamily="18" charset="0"/>
                      </a:rPr>
                      <m:t> </m:t>
                    </m:r>
                    <m:r>
                      <a:rPr lang="en-CA" sz="1100" b="0" i="1">
                        <a:latin typeface="Cambria Math" panose="02040503050406030204" pitchFamily="18" charset="0"/>
                      </a:rPr>
                      <m:t>h𝑜𝑚𝑒𝑠</m:t>
                    </m:r>
                    <m:r>
                      <a:rPr lang="en-CA" sz="1100" b="0" i="1">
                        <a:latin typeface="Cambria Math" panose="02040503050406030204" pitchFamily="18" charset="0"/>
                      </a:rPr>
                      <m:t>=</m:t>
                    </m:r>
                    <m:d>
                      <m:dPr>
                        <m:ctrlPr>
                          <a:rPr lang="en-CA" sz="1100" b="0" i="1">
                            <a:latin typeface="Cambria Math" panose="02040503050406030204" pitchFamily="18" charset="0"/>
                          </a:rPr>
                        </m:ctrlPr>
                      </m:dPr>
                      <m:e>
                        <m:r>
                          <a:rPr lang="en-CA" sz="1100" b="0" i="1">
                            <a:latin typeface="Cambria Math" panose="02040503050406030204" pitchFamily="18" charset="0"/>
                          </a:rPr>
                          <m:t>𝑡𝑜𝑡𝑎𝑙</m:t>
                        </m:r>
                        <m:r>
                          <a:rPr lang="en-CA" sz="1100" b="0" i="1">
                            <a:latin typeface="Cambria Math" panose="02040503050406030204" pitchFamily="18" charset="0"/>
                          </a:rPr>
                          <m:t> # </m:t>
                        </m:r>
                        <m:r>
                          <a:rPr lang="en-CA" sz="1100" b="0" i="1">
                            <a:latin typeface="Cambria Math" panose="02040503050406030204" pitchFamily="18" charset="0"/>
                          </a:rPr>
                          <m:t>h𝑜𝑚𝑒𝑠</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𝐴𝐶</m:t>
                        </m:r>
                      </m:e>
                    </m:d>
                    <m:r>
                      <a:rPr lang="en-CA" sz="1100" b="0" i="1">
                        <a:latin typeface="Cambria Math" panose="02040503050406030204" pitchFamily="18" charset="0"/>
                      </a:rPr>
                      <m:t>∗(</m:t>
                    </m:r>
                    <m:r>
                      <a:rPr lang="en-CA" sz="1100" b="0" i="1">
                        <a:latin typeface="Cambria Math" panose="02040503050406030204" pitchFamily="18" charset="0"/>
                      </a:rPr>
                      <m:t>𝑎𝑣𝑔</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r>
                      <a:rPr lang="en-CA" sz="1100" b="0" i="1">
                        <a:latin typeface="Cambria Math" panose="02040503050406030204" pitchFamily="18" charset="0"/>
                      </a:rPr>
                      <m:t>)/(</m:t>
                    </m:r>
                    <m:nary>
                      <m:naryPr>
                        <m:chr m:val="∑"/>
                        <m:subHide m:val="on"/>
                        <m:supHide m:val="on"/>
                        <m:ctrlPr>
                          <a:rPr lang="en-CA" sz="1100" b="0" i="1">
                            <a:latin typeface="Cambria Math" panose="02040503050406030204" pitchFamily="18" charset="0"/>
                          </a:rPr>
                        </m:ctrlPr>
                      </m:naryPr>
                      <m:sub/>
                      <m:sup/>
                      <m:e>
                        <m:d>
                          <m:dPr>
                            <m:ctrlPr>
                              <a:rPr lang="en-CA" sz="1100" b="0" i="1">
                                <a:solidFill>
                                  <a:schemeClr val="tx1"/>
                                </a:solidFill>
                                <a:effectLst/>
                                <a:latin typeface="Cambria Math" panose="02040503050406030204" pitchFamily="18" charset="0"/>
                                <a:ea typeface="+mn-ea"/>
                                <a:cs typeface="+mn-cs"/>
                              </a:rPr>
                            </m:ctrlPr>
                          </m:dPr>
                          <m:e>
                            <m:r>
                              <a:rPr lang="en-CA" sz="1100" b="0" i="1">
                                <a:solidFill>
                                  <a:schemeClr val="tx1"/>
                                </a:solidFill>
                                <a:effectLst/>
                                <a:latin typeface="Cambria Math" panose="02040503050406030204" pitchFamily="18" charset="0"/>
                                <a:ea typeface="+mn-ea"/>
                                <a:cs typeface="+mn-cs"/>
                              </a:rPr>
                              <m:t>𝑛𝑢𝑚𝑏𝑒𝑟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𝑜𝑓</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h𝑜𝑚𝑒𝑠</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𝑜𝑓𝑎</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h𝑜𝑚𝑒</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𝑡𝑦𝑝𝑒</m:t>
                            </m:r>
                          </m:e>
                        </m:d>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𝑡h𝑎𝑡</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h𝑜𝑚𝑒</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𝑡𝑦𝑝𝑒</m:t>
                            </m:r>
                          </m:num>
                          <m:den>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𝑑𝑒𝑡𝑎𝑐h𝑒𝑑</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h𝑜𝑚𝑒𝑠</m:t>
                            </m:r>
                          </m:den>
                        </m:f>
                      </m:e>
                    </m:nary>
                    <m:r>
                      <a:rPr lang="en-CA" sz="1100" b="0" i="1">
                        <a:latin typeface="Cambria Math" panose="02040503050406030204" pitchFamily="18" charset="0"/>
                      </a:rPr>
                      <m:t>)</m:t>
                    </m:r>
                  </m:oMath>
                </m:oMathPara>
              </a14:m>
              <a:endParaRPr lang="en-CA" sz="1100"/>
            </a:p>
          </xdr:txBody>
        </xdr:sp>
      </mc:Choice>
      <mc:Fallback xmlns="">
        <xdr:sp macro="" textlink="">
          <xdr:nvSpPr>
            <xdr:cNvPr id="8" name="TextBox 7"/>
            <xdr:cNvSpPr txBox="1"/>
          </xdr:nvSpPr>
          <xdr:spPr>
            <a:xfrm>
              <a:off x="314325" y="13808075"/>
              <a:ext cx="10924786" cy="40992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CA" sz="1100" b="0" i="0">
                  <a:latin typeface="Cambria Math" panose="02040503050406030204" pitchFamily="18" charset="0"/>
                </a:rPr>
                <a:t>𝑎𝑑𝑗𝑢𝑠𝑡𝑒𝑑 𝑐𝑜𝑜𝑙𝑖𝑛𝑔 𝑒𝑛𝑒𝑟𝑔𝑦 𝑢𝑠𝑒 𝑓𝑜𝑟 𝑑𝑒𝑡𝑎𝑐ℎ𝑒𝑑 ℎ𝑜𝑚𝑒𝑠=(𝑡𝑜𝑡𝑎𝑙 # ℎ𝑜𝑚𝑒𝑠 𝑤𝑖𝑡ℎ 𝐴𝐶)∗(𝑎𝑣𝑔 𝑐𝑜𝑜𝑙𝑖𝑛𝑔 𝑙𝑜𝑎𝑑)/(∑▒〖</a:t>
              </a:r>
              <a:r>
                <a:rPr lang="en-CA" sz="1100" b="0" i="0">
                  <a:solidFill>
                    <a:schemeClr val="tx1"/>
                  </a:solidFill>
                  <a:effectLst/>
                  <a:latin typeface="+mn-lt"/>
                  <a:ea typeface="+mn-ea"/>
                  <a:cs typeface="+mn-cs"/>
                </a:rPr>
                <a:t>(𝑛𝑢𝑚𝑏𝑒𝑟 𝑜𝑓 ℎ𝑜𝑚𝑒𝑠 𝑜𝑓</a:t>
              </a:r>
              <a:r>
                <a:rPr lang="en-CA" sz="1100" b="0" i="0">
                  <a:solidFill>
                    <a:schemeClr val="tx1"/>
                  </a:solidFill>
                  <a:effectLst/>
                  <a:latin typeface="Cambria Math" panose="02040503050406030204" pitchFamily="18" charset="0"/>
                  <a:ea typeface="+mn-ea"/>
                  <a:cs typeface="+mn-cs"/>
                </a:rPr>
                <a:t>𝑎 ℎ𝑜𝑚𝑒</a:t>
              </a:r>
              <a:r>
                <a:rPr lang="en-CA" sz="1100" b="0" i="0">
                  <a:solidFill>
                    <a:schemeClr val="tx1"/>
                  </a:solidFill>
                  <a:effectLst/>
                  <a:latin typeface="+mn-lt"/>
                  <a:ea typeface="+mn-ea"/>
                  <a:cs typeface="+mn-cs"/>
                </a:rPr>
                <a:t> 𝑡𝑦𝑝𝑒)∗(ℎ𝑒𝑎𝑡𝑖𝑛𝑔 𝑙𝑜𝑎𝑑 𝑓𝑜𝑟 𝑡ℎ𝑎𝑡 ℎ𝑜𝑚𝑒 𝑡𝑦𝑝𝑒)/(ℎ𝑒𝑎𝑡𝑖𝑛𝑔 𝑙𝑜𝑎𝑑 𝑓𝑜𝑟 𝑑𝑒𝑡𝑎𝑐ℎ𝑒𝑑 ℎ𝑜𝑚𝑒𝑠)</a:t>
              </a:r>
              <a:r>
                <a:rPr lang="en-CA" sz="1100" b="0" i="0">
                  <a:solidFill>
                    <a:schemeClr val="tx1"/>
                  </a:solidFill>
                  <a:effectLst/>
                  <a:latin typeface="Cambria Math" panose="02040503050406030204" pitchFamily="18" charset="0"/>
                  <a:ea typeface="+mn-ea"/>
                  <a:cs typeface="+mn-cs"/>
                </a:rPr>
                <a:t>〗</a:t>
              </a:r>
              <a:r>
                <a:rPr lang="en-CA" sz="1100" b="0" i="0">
                  <a:latin typeface="Cambria Math" panose="02040503050406030204" pitchFamily="18" charset="0"/>
                </a:rPr>
                <a:t>)</a:t>
              </a:r>
              <a:endParaRPr lang="en-CA" sz="1100"/>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budget.ontario.ca/2021/chapter-4.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8"/>
  <sheetViews>
    <sheetView topLeftCell="A5" workbookViewId="0">
      <selection activeCell="A15" sqref="A15"/>
    </sheetView>
  </sheetViews>
  <sheetFormatPr defaultRowHeight="14.5" x14ac:dyDescent="0.35"/>
  <cols>
    <col min="1" max="1" width="103.26953125" style="7" customWidth="1"/>
  </cols>
  <sheetData>
    <row r="1" spans="1:1" ht="47" x14ac:dyDescent="0.55000000000000004">
      <c r="A1" s="45" t="s">
        <v>323</v>
      </c>
    </row>
    <row r="3" spans="1:1" ht="43.5" x14ac:dyDescent="0.35">
      <c r="A3" s="114" t="s">
        <v>186</v>
      </c>
    </row>
    <row r="5" spans="1:1" ht="29" x14ac:dyDescent="0.35">
      <c r="A5" s="114" t="s">
        <v>187</v>
      </c>
    </row>
    <row r="7" spans="1:1" ht="29" x14ac:dyDescent="0.35">
      <c r="A7" s="114" t="s">
        <v>322</v>
      </c>
    </row>
    <row r="9" spans="1:1" ht="43.5" x14ac:dyDescent="0.35">
      <c r="A9" s="7" t="s">
        <v>188</v>
      </c>
    </row>
    <row r="11" spans="1:1" x14ac:dyDescent="0.35">
      <c r="A11" s="7" t="s">
        <v>189</v>
      </c>
    </row>
    <row r="13" spans="1:1" x14ac:dyDescent="0.35">
      <c r="A13" s="7" t="s">
        <v>190</v>
      </c>
    </row>
    <row r="15" spans="1:1" ht="43.5" x14ac:dyDescent="0.35">
      <c r="A15" s="7" t="s">
        <v>191</v>
      </c>
    </row>
    <row r="18" spans="1:1" x14ac:dyDescent="0.35">
      <c r="A18" s="10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abSelected="1" workbookViewId="0">
      <selection activeCell="A7" sqref="A7"/>
    </sheetView>
  </sheetViews>
  <sheetFormatPr defaultRowHeight="14.5" x14ac:dyDescent="0.35"/>
  <cols>
    <col min="1" max="1" width="84.453125" customWidth="1"/>
    <col min="2" max="2" width="68.36328125" customWidth="1"/>
  </cols>
  <sheetData>
    <row r="1" spans="1:2" s="35" customFormat="1" ht="26" x14ac:dyDescent="0.6">
      <c r="A1" s="35" t="s">
        <v>154</v>
      </c>
    </row>
    <row r="4" spans="1:2" s="34" customFormat="1" ht="21" x14ac:dyDescent="0.5">
      <c r="A4" s="34" t="s">
        <v>155</v>
      </c>
    </row>
    <row r="5" spans="1:2" x14ac:dyDescent="0.35">
      <c r="A5" t="s">
        <v>318</v>
      </c>
      <c r="B5" s="101"/>
    </row>
    <row r="6" spans="1:2" x14ac:dyDescent="0.35">
      <c r="A6" t="s">
        <v>340</v>
      </c>
      <c r="B6" s="101"/>
    </row>
    <row r="7" spans="1:2" x14ac:dyDescent="0.35">
      <c r="A7" t="s">
        <v>183</v>
      </c>
    </row>
    <row r="8" spans="1:2" x14ac:dyDescent="0.35">
      <c r="A8" t="s">
        <v>319</v>
      </c>
    </row>
    <row r="9" spans="1:2" x14ac:dyDescent="0.35">
      <c r="A9" s="100" t="s">
        <v>321</v>
      </c>
    </row>
    <row r="10" spans="1:2" x14ac:dyDescent="0.35">
      <c r="A10" t="s">
        <v>320</v>
      </c>
    </row>
    <row r="11" spans="1:2" x14ac:dyDescent="0.35">
      <c r="A11" t="s">
        <v>157</v>
      </c>
    </row>
    <row r="12" spans="1:2" x14ac:dyDescent="0.35">
      <c r="A12" t="s">
        <v>158</v>
      </c>
    </row>
    <row r="13" spans="1:2" x14ac:dyDescent="0.35">
      <c r="A13" t="s">
        <v>204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2"/>
  <sheetViews>
    <sheetView workbookViewId="0">
      <pane ySplit="3" topLeftCell="A61" activePane="bottomLeft" state="frozen"/>
      <selection pane="bottomLeft" activeCell="C18" sqref="C18"/>
    </sheetView>
  </sheetViews>
  <sheetFormatPr defaultRowHeight="14.5" x14ac:dyDescent="0.35"/>
  <cols>
    <col min="1" max="1" width="54.90625" customWidth="1"/>
    <col min="2" max="2" width="14.36328125" customWidth="1"/>
    <col min="3" max="3" width="30.7265625" customWidth="1"/>
    <col min="4" max="4" width="17" customWidth="1"/>
  </cols>
  <sheetData>
    <row r="1" spans="1:4" s="2" customFormat="1" ht="26" x14ac:dyDescent="0.6">
      <c r="A1" s="22" t="s">
        <v>8</v>
      </c>
    </row>
    <row r="3" spans="1:4" s="21" customFormat="1" ht="18.5" x14ac:dyDescent="0.45">
      <c r="A3" s="21" t="s">
        <v>9</v>
      </c>
      <c r="B3" s="21" t="s">
        <v>10</v>
      </c>
      <c r="C3" s="21" t="s">
        <v>11</v>
      </c>
      <c r="D3" s="21" t="s">
        <v>12</v>
      </c>
    </row>
    <row r="5" spans="1:4" ht="18.5" x14ac:dyDescent="0.45">
      <c r="A5" s="18" t="s">
        <v>3</v>
      </c>
    </row>
    <row r="6" spans="1:4" x14ac:dyDescent="0.35">
      <c r="A6" t="s">
        <v>18</v>
      </c>
      <c r="B6">
        <v>312500</v>
      </c>
      <c r="C6" t="s">
        <v>16</v>
      </c>
    </row>
    <row r="7" spans="1:4" x14ac:dyDescent="0.35">
      <c r="A7" t="s">
        <v>0</v>
      </c>
      <c r="B7">
        <v>137500</v>
      </c>
      <c r="C7" t="s">
        <v>17</v>
      </c>
    </row>
    <row r="8" spans="1:4" x14ac:dyDescent="0.35">
      <c r="B8">
        <f>SUM(B6:B7)</f>
        <v>450000</v>
      </c>
    </row>
    <row r="9" spans="1:4" ht="18.5" x14ac:dyDescent="0.45">
      <c r="A9" s="18" t="s">
        <v>119</v>
      </c>
    </row>
    <row r="10" spans="1:4" x14ac:dyDescent="0.35">
      <c r="A10" t="s">
        <v>120</v>
      </c>
      <c r="B10">
        <f>B6-B11-B12</f>
        <v>66250.000000000029</v>
      </c>
      <c r="C10" t="s">
        <v>337</v>
      </c>
      <c r="D10" t="s">
        <v>156</v>
      </c>
    </row>
    <row r="11" spans="1:4" x14ac:dyDescent="0.35">
      <c r="A11" t="s">
        <v>62</v>
      </c>
      <c r="B11">
        <f>B6*0.688</f>
        <v>214999.99999999997</v>
      </c>
      <c r="C11" t="s">
        <v>337</v>
      </c>
      <c r="D11" t="s">
        <v>338</v>
      </c>
    </row>
    <row r="12" spans="1:4" x14ac:dyDescent="0.35">
      <c r="A12" t="s">
        <v>217</v>
      </c>
      <c r="B12">
        <f>0.1*B6</f>
        <v>31250</v>
      </c>
      <c r="C12" t="s">
        <v>337</v>
      </c>
      <c r="D12" t="s">
        <v>339</v>
      </c>
    </row>
    <row r="13" spans="1:4" x14ac:dyDescent="0.35">
      <c r="A13" t="s">
        <v>121</v>
      </c>
      <c r="B13">
        <f>B7-B14-B15</f>
        <v>29150.000000000015</v>
      </c>
      <c r="C13" t="s">
        <v>337</v>
      </c>
      <c r="D13" t="s">
        <v>156</v>
      </c>
    </row>
    <row r="14" spans="1:4" x14ac:dyDescent="0.35">
      <c r="A14" t="s">
        <v>44</v>
      </c>
      <c r="B14">
        <f>B7*0.688</f>
        <v>94599.999999999985</v>
      </c>
      <c r="C14" t="s">
        <v>337</v>
      </c>
      <c r="D14" t="s">
        <v>338</v>
      </c>
    </row>
    <row r="15" spans="1:4" x14ac:dyDescent="0.35">
      <c r="A15" t="s">
        <v>218</v>
      </c>
      <c r="B15">
        <f>0.1*B7</f>
        <v>13750</v>
      </c>
      <c r="C15" t="s">
        <v>337</v>
      </c>
      <c r="D15" t="s">
        <v>339</v>
      </c>
    </row>
    <row r="17" spans="1:4" ht="18.5" x14ac:dyDescent="0.45">
      <c r="A17" s="18" t="s">
        <v>19</v>
      </c>
    </row>
    <row r="18" spans="1:4" x14ac:dyDescent="0.35">
      <c r="A18" t="s">
        <v>178</v>
      </c>
      <c r="B18" s="3">
        <v>90.6</v>
      </c>
      <c r="C18" t="s">
        <v>118</v>
      </c>
      <c r="D18" t="s">
        <v>77</v>
      </c>
    </row>
    <row r="19" spans="1:4" x14ac:dyDescent="0.35">
      <c r="A19" t="s">
        <v>179</v>
      </c>
      <c r="B19" s="3">
        <v>58.4</v>
      </c>
      <c r="C19" t="s">
        <v>118</v>
      </c>
      <c r="D19" t="s">
        <v>84</v>
      </c>
    </row>
    <row r="20" spans="1:4" x14ac:dyDescent="0.35">
      <c r="B20" s="3"/>
    </row>
    <row r="21" spans="1:4" ht="18.5" x14ac:dyDescent="0.45">
      <c r="A21" s="18" t="s">
        <v>275</v>
      </c>
      <c r="B21" s="3"/>
    </row>
    <row r="22" spans="1:4" x14ac:dyDescent="0.35">
      <c r="A22" t="s">
        <v>276</v>
      </c>
      <c r="B22" s="66">
        <v>1</v>
      </c>
    </row>
    <row r="23" spans="1:4" x14ac:dyDescent="0.35">
      <c r="A23" t="s">
        <v>277</v>
      </c>
      <c r="B23" s="66">
        <v>0.7</v>
      </c>
    </row>
    <row r="24" spans="1:4" x14ac:dyDescent="0.35">
      <c r="B24" s="66"/>
    </row>
    <row r="25" spans="1:4" ht="18.5" x14ac:dyDescent="0.45">
      <c r="A25" s="18" t="s">
        <v>20</v>
      </c>
    </row>
    <row r="26" spans="1:4" x14ac:dyDescent="0.35">
      <c r="A26" t="s">
        <v>180</v>
      </c>
      <c r="B26" s="3">
        <v>26</v>
      </c>
      <c r="C26" t="s">
        <v>45</v>
      </c>
      <c r="D26" t="s">
        <v>182</v>
      </c>
    </row>
    <row r="27" spans="1:4" x14ac:dyDescent="0.35">
      <c r="A27" t="s">
        <v>246</v>
      </c>
      <c r="B27" s="3">
        <v>16.8</v>
      </c>
      <c r="C27" t="s">
        <v>45</v>
      </c>
      <c r="D27" t="s">
        <v>182</v>
      </c>
    </row>
    <row r="28" spans="1:4" x14ac:dyDescent="0.35">
      <c r="A28" t="s">
        <v>181</v>
      </c>
      <c r="B28">
        <v>8.58</v>
      </c>
      <c r="C28" t="s">
        <v>45</v>
      </c>
    </row>
    <row r="30" spans="1:4" ht="18.5" x14ac:dyDescent="0.45">
      <c r="A30" s="18" t="s">
        <v>4</v>
      </c>
    </row>
    <row r="31" spans="1:4" x14ac:dyDescent="0.35">
      <c r="A31" t="s">
        <v>30</v>
      </c>
      <c r="B31">
        <v>1</v>
      </c>
    </row>
    <row r="32" spans="1:4" x14ac:dyDescent="0.35">
      <c r="A32" t="s">
        <v>53</v>
      </c>
      <c r="B32">
        <v>12.5</v>
      </c>
      <c r="C32" t="s">
        <v>21</v>
      </c>
    </row>
    <row r="33" spans="1:5" x14ac:dyDescent="0.35">
      <c r="A33" t="s">
        <v>54</v>
      </c>
      <c r="B33" s="5">
        <f>(1.12*B32-0.02*B32*B32)/3.413</f>
        <v>3.1863463228830948</v>
      </c>
      <c r="C33" t="s">
        <v>51</v>
      </c>
      <c r="D33" t="s">
        <v>94</v>
      </c>
    </row>
    <row r="34" spans="1:5" x14ac:dyDescent="0.35">
      <c r="A34" t="s">
        <v>55</v>
      </c>
      <c r="B34" s="5">
        <v>11.6</v>
      </c>
      <c r="C34" t="s">
        <v>21</v>
      </c>
    </row>
    <row r="35" spans="1:5" x14ac:dyDescent="0.35">
      <c r="A35" t="s">
        <v>56</v>
      </c>
      <c r="B35" s="5">
        <f>B34/3.413</f>
        <v>3.3987694110753006</v>
      </c>
      <c r="C35" t="s">
        <v>51</v>
      </c>
      <c r="D35" t="s">
        <v>93</v>
      </c>
    </row>
    <row r="36" spans="1:5" x14ac:dyDescent="0.35">
      <c r="A36" t="s">
        <v>1</v>
      </c>
      <c r="B36" s="3">
        <v>2.7</v>
      </c>
      <c r="C36" s="3" t="s">
        <v>247</v>
      </c>
    </row>
    <row r="37" spans="1:5" x14ac:dyDescent="0.35">
      <c r="A37" t="s">
        <v>2</v>
      </c>
      <c r="B37" s="3">
        <v>18</v>
      </c>
      <c r="C37" s="3" t="s">
        <v>249</v>
      </c>
    </row>
    <row r="38" spans="1:5" x14ac:dyDescent="0.35">
      <c r="A38" t="s">
        <v>52</v>
      </c>
      <c r="B38" s="5">
        <f>(1.12*B37-0.02*B37*B37)/3.413</f>
        <v>4.0082039261646658</v>
      </c>
      <c r="C38" t="s">
        <v>51</v>
      </c>
      <c r="D38" t="s">
        <v>94</v>
      </c>
    </row>
    <row r="39" spans="1:5" x14ac:dyDescent="0.35">
      <c r="B39" s="5"/>
    </row>
    <row r="41" spans="1:5" ht="18.5" x14ac:dyDescent="0.45">
      <c r="A41" s="18" t="s">
        <v>223</v>
      </c>
    </row>
    <row r="42" spans="1:5" x14ac:dyDescent="0.35">
      <c r="A42" t="s">
        <v>222</v>
      </c>
      <c r="B42" s="4">
        <f>'formulas for supporting values'!B22</f>
        <v>0.16529888600000001</v>
      </c>
      <c r="C42" t="s">
        <v>43</v>
      </c>
      <c r="D42" t="s">
        <v>42</v>
      </c>
    </row>
    <row r="43" spans="1:5" x14ac:dyDescent="0.35">
      <c r="A43" t="s">
        <v>312</v>
      </c>
      <c r="B43" s="57">
        <v>40</v>
      </c>
      <c r="C43" s="3" t="s">
        <v>236</v>
      </c>
      <c r="D43" s="3"/>
      <c r="E43" s="3"/>
    </row>
    <row r="44" spans="1:5" x14ac:dyDescent="0.35">
      <c r="A44" t="s">
        <v>313</v>
      </c>
      <c r="B44" s="57">
        <v>20</v>
      </c>
      <c r="C44" s="3" t="s">
        <v>314</v>
      </c>
      <c r="D44" s="3"/>
      <c r="E44" s="3"/>
    </row>
    <row r="46" spans="1:5" ht="18.5" x14ac:dyDescent="0.45">
      <c r="A46" s="18" t="s">
        <v>5</v>
      </c>
    </row>
    <row r="47" spans="1:5" x14ac:dyDescent="0.35">
      <c r="A47" t="s">
        <v>6</v>
      </c>
      <c r="B47" s="3">
        <v>15600</v>
      </c>
      <c r="C47" s="3" t="s">
        <v>250</v>
      </c>
    </row>
    <row r="48" spans="1:5" x14ac:dyDescent="0.35">
      <c r="A48" t="s">
        <v>221</v>
      </c>
      <c r="B48" s="3">
        <v>12600</v>
      </c>
      <c r="C48" s="3" t="s">
        <v>250</v>
      </c>
    </row>
    <row r="49" spans="1:4" x14ac:dyDescent="0.35">
      <c r="A49" t="s">
        <v>224</v>
      </c>
      <c r="B49" s="3">
        <v>7000</v>
      </c>
      <c r="C49" s="3" t="s">
        <v>185</v>
      </c>
    </row>
    <row r="50" spans="1:4" x14ac:dyDescent="0.35">
      <c r="A50" t="s">
        <v>327</v>
      </c>
      <c r="B50" s="3">
        <v>380</v>
      </c>
      <c r="C50" t="s">
        <v>326</v>
      </c>
    </row>
    <row r="51" spans="1:4" x14ac:dyDescent="0.35">
      <c r="A51" t="s">
        <v>280</v>
      </c>
      <c r="B51" s="66">
        <v>0.5</v>
      </c>
      <c r="C51" s="3"/>
    </row>
    <row r="52" spans="1:4" x14ac:dyDescent="0.35">
      <c r="A52" t="s">
        <v>278</v>
      </c>
      <c r="B52" s="66">
        <v>1</v>
      </c>
      <c r="C52" s="3"/>
    </row>
    <row r="53" spans="1:4" x14ac:dyDescent="0.35">
      <c r="A53" t="s">
        <v>279</v>
      </c>
      <c r="B53" s="66">
        <v>0.5</v>
      </c>
      <c r="C53" s="3"/>
    </row>
    <row r="55" spans="1:4" ht="18.5" x14ac:dyDescent="0.45">
      <c r="A55" s="18" t="s">
        <v>13</v>
      </c>
    </row>
    <row r="56" spans="1:4" x14ac:dyDescent="0.35">
      <c r="A56" t="s">
        <v>7</v>
      </c>
      <c r="B56">
        <v>15</v>
      </c>
      <c r="C56" s="3" t="s">
        <v>185</v>
      </c>
    </row>
    <row r="57" spans="1:4" x14ac:dyDescent="0.35">
      <c r="A57" t="s">
        <v>6</v>
      </c>
      <c r="B57">
        <v>15</v>
      </c>
      <c r="C57" s="3" t="s">
        <v>185</v>
      </c>
    </row>
    <row r="58" spans="1:4" x14ac:dyDescent="0.35">
      <c r="A58" t="s">
        <v>244</v>
      </c>
      <c r="B58">
        <v>15</v>
      </c>
      <c r="C58" s="3" t="s">
        <v>185</v>
      </c>
    </row>
    <row r="60" spans="1:4" ht="18.5" x14ac:dyDescent="0.45">
      <c r="A60" s="18" t="s">
        <v>14</v>
      </c>
    </row>
    <row r="61" spans="1:4" x14ac:dyDescent="0.35">
      <c r="A61" t="s">
        <v>60</v>
      </c>
      <c r="B61">
        <v>0.3725</v>
      </c>
      <c r="C61" t="s">
        <v>205</v>
      </c>
      <c r="D61" s="3" t="s">
        <v>253</v>
      </c>
    </row>
    <row r="62" spans="1:4" x14ac:dyDescent="0.35">
      <c r="A62" t="s">
        <v>61</v>
      </c>
      <c r="B62">
        <v>0.36609999999999998</v>
      </c>
      <c r="C62" t="s">
        <v>205</v>
      </c>
      <c r="D62" s="3" t="s">
        <v>253</v>
      </c>
    </row>
    <row r="64" spans="1:4" ht="18.5" x14ac:dyDescent="0.45">
      <c r="A64" s="18" t="s">
        <v>163</v>
      </c>
    </row>
    <row r="65" spans="1:4" x14ac:dyDescent="0.35">
      <c r="A65" t="s">
        <v>22</v>
      </c>
      <c r="B65" s="3">
        <v>1.9E-2</v>
      </c>
      <c r="C65" s="46" t="s">
        <v>23</v>
      </c>
      <c r="D65" s="47" t="s">
        <v>196</v>
      </c>
    </row>
    <row r="66" spans="1:4" x14ac:dyDescent="0.35">
      <c r="A66" t="s">
        <v>159</v>
      </c>
      <c r="B66" s="3">
        <v>180</v>
      </c>
      <c r="C66" s="3"/>
      <c r="D66" s="47" t="s">
        <v>203</v>
      </c>
    </row>
    <row r="68" spans="1:4" ht="18.5" x14ac:dyDescent="0.45">
      <c r="A68" s="18" t="s">
        <v>49</v>
      </c>
    </row>
    <row r="69" spans="1:4" x14ac:dyDescent="0.35">
      <c r="A69" t="s">
        <v>50</v>
      </c>
      <c r="B69">
        <v>3.5999999999999999E-3</v>
      </c>
    </row>
    <row r="71" spans="1:4" ht="18.5" x14ac:dyDescent="0.45">
      <c r="A71" s="18" t="s">
        <v>108</v>
      </c>
    </row>
    <row r="72" spans="1:4" x14ac:dyDescent="0.35">
      <c r="A72" t="s">
        <v>109</v>
      </c>
      <c r="B72">
        <v>132.19999999999999</v>
      </c>
      <c r="C72" t="s">
        <v>110</v>
      </c>
      <c r="D72" t="s">
        <v>111</v>
      </c>
    </row>
  </sheetData>
  <hyperlinks>
    <hyperlink ref="C65" r:id="rId1" location="section-3"/>
  </hyperlink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0"/>
  <sheetViews>
    <sheetView topLeftCell="A51" workbookViewId="0">
      <selection activeCell="C58" sqref="C58"/>
    </sheetView>
  </sheetViews>
  <sheetFormatPr defaultRowHeight="14.5" x14ac:dyDescent="0.35"/>
  <cols>
    <col min="1" max="1" width="17.6328125" customWidth="1"/>
    <col min="2" max="2" width="15.1796875" customWidth="1"/>
    <col min="3" max="3" width="16.7265625" customWidth="1"/>
    <col min="4" max="4" width="19.453125" customWidth="1"/>
    <col min="5" max="5" width="15.36328125" customWidth="1"/>
    <col min="6" max="6" width="17.26953125" customWidth="1"/>
    <col min="7" max="7" width="18.453125" customWidth="1"/>
    <col min="8" max="8" width="14.7265625" customWidth="1"/>
  </cols>
  <sheetData>
    <row r="1" spans="1:8" ht="15" thickBot="1" x14ac:dyDescent="0.4"/>
    <row r="2" spans="1:8" ht="15" thickBot="1" x14ac:dyDescent="0.4">
      <c r="A2" s="81" t="s">
        <v>330</v>
      </c>
    </row>
    <row r="3" spans="1:8" ht="15" thickBot="1" x14ac:dyDescent="0.4"/>
    <row r="4" spans="1:8" ht="39.5" thickBot="1" x14ac:dyDescent="0.4">
      <c r="A4" s="69"/>
      <c r="B4" s="70" t="s">
        <v>298</v>
      </c>
      <c r="C4" s="69" t="s">
        <v>304</v>
      </c>
      <c r="D4" s="70" t="s">
        <v>305</v>
      </c>
      <c r="E4" s="69" t="s">
        <v>306</v>
      </c>
      <c r="F4" s="70" t="s">
        <v>307</v>
      </c>
      <c r="G4" s="69" t="s">
        <v>308</v>
      </c>
      <c r="H4" s="70" t="s">
        <v>309</v>
      </c>
    </row>
    <row r="5" spans="1:8" ht="15" thickBot="1" x14ac:dyDescent="0.4">
      <c r="A5" s="115" t="s">
        <v>290</v>
      </c>
      <c r="B5" s="74" t="s">
        <v>291</v>
      </c>
      <c r="C5" s="73">
        <f>outputs!D33</f>
        <v>12600</v>
      </c>
      <c r="D5" s="72">
        <f>outputs!I7</f>
        <v>1793.4911620580242</v>
      </c>
      <c r="E5" s="73">
        <f>outputs!F33</f>
        <v>966.03841413922385</v>
      </c>
      <c r="F5" s="72">
        <f>D5-E5</f>
        <v>827.45274791880036</v>
      </c>
      <c r="G5" s="73">
        <f>outputs!G33</f>
        <v>840</v>
      </c>
      <c r="H5" s="72">
        <f>D5-G5</f>
        <v>953.4911620580242</v>
      </c>
    </row>
    <row r="6" spans="1:8" ht="15" thickBot="1" x14ac:dyDescent="0.4">
      <c r="A6" s="116"/>
      <c r="B6" s="74" t="s">
        <v>292</v>
      </c>
      <c r="C6" s="73">
        <f>outputs!D34</f>
        <v>15600</v>
      </c>
      <c r="D6" s="72">
        <f>outputs!I8</f>
        <v>2676.0966727684263</v>
      </c>
      <c r="E6" s="73">
        <f>outputs!F34</f>
        <v>1196.0475603628488</v>
      </c>
      <c r="F6" s="72">
        <f t="shared" ref="F6:F11" si="0">D6-E6</f>
        <v>1480.0491124055775</v>
      </c>
      <c r="G6" s="73">
        <f>outputs!G34</f>
        <v>1040</v>
      </c>
      <c r="H6" s="72">
        <f t="shared" ref="H6:H11" si="1">D6-G6</f>
        <v>1636.0966727684263</v>
      </c>
    </row>
    <row r="7" spans="1:8" ht="15" thickBot="1" x14ac:dyDescent="0.4">
      <c r="A7" s="117"/>
      <c r="B7" s="74" t="s">
        <v>293</v>
      </c>
      <c r="C7" s="73">
        <f>outputs!D35</f>
        <v>12600</v>
      </c>
      <c r="D7" s="72">
        <f>outputs!I9</f>
        <v>1863.3854096016507</v>
      </c>
      <c r="E7" s="73">
        <f>outputs!F35</f>
        <v>966.03841413922385</v>
      </c>
      <c r="F7" s="72">
        <f t="shared" si="0"/>
        <v>897.34699546242689</v>
      </c>
      <c r="G7" s="73">
        <f>outputs!G35</f>
        <v>840</v>
      </c>
      <c r="H7" s="72">
        <f t="shared" si="1"/>
        <v>1023.3854096016507</v>
      </c>
    </row>
    <row r="8" spans="1:8" ht="15" thickBot="1" x14ac:dyDescent="0.4">
      <c r="A8" s="115" t="s">
        <v>294</v>
      </c>
      <c r="B8" s="74" t="s">
        <v>291</v>
      </c>
      <c r="C8" s="73">
        <f>outputs!D36</f>
        <v>12600</v>
      </c>
      <c r="D8" s="72">
        <f>outputs!I10</f>
        <v>1141.853022783539</v>
      </c>
      <c r="E8" s="73">
        <f>outputs!F36</f>
        <v>966.03841413922385</v>
      </c>
      <c r="F8" s="72">
        <f t="shared" si="0"/>
        <v>175.81460864431517</v>
      </c>
      <c r="G8" s="73">
        <f>outputs!G36</f>
        <v>840</v>
      </c>
      <c r="H8" s="72">
        <f t="shared" si="1"/>
        <v>301.85302278353902</v>
      </c>
    </row>
    <row r="9" spans="1:8" ht="15" thickBot="1" x14ac:dyDescent="0.4">
      <c r="A9" s="116"/>
      <c r="B9" s="74" t="s">
        <v>292</v>
      </c>
      <c r="C9" s="73">
        <f>outputs!D37</f>
        <v>15600</v>
      </c>
      <c r="D9" s="72">
        <f>outputs!I11</f>
        <v>1718.0013154699946</v>
      </c>
      <c r="E9" s="73">
        <f>outputs!F37</f>
        <v>1196.0475603628488</v>
      </c>
      <c r="F9" s="72">
        <f t="shared" si="0"/>
        <v>521.95375510714575</v>
      </c>
      <c r="G9" s="73">
        <f>outputs!G37</f>
        <v>1040</v>
      </c>
      <c r="H9" s="72">
        <f t="shared" si="1"/>
        <v>678.00131546999455</v>
      </c>
    </row>
    <row r="10" spans="1:8" ht="15" thickBot="1" x14ac:dyDescent="0.4">
      <c r="A10" s="117"/>
      <c r="B10" s="74" t="s">
        <v>293</v>
      </c>
      <c r="C10" s="73">
        <f>outputs!D38</f>
        <v>12600</v>
      </c>
      <c r="D10" s="72">
        <f>outputs!I12</f>
        <v>1201.2255046625041</v>
      </c>
      <c r="E10" s="73">
        <f>outputs!F38</f>
        <v>966.03841413922385</v>
      </c>
      <c r="F10" s="72">
        <f t="shared" si="0"/>
        <v>235.18709052328029</v>
      </c>
      <c r="G10" s="73">
        <f>outputs!G38</f>
        <v>840</v>
      </c>
      <c r="H10" s="72">
        <f t="shared" si="1"/>
        <v>361.22550466250414</v>
      </c>
    </row>
    <row r="11" spans="1:8" ht="26.5" thickBot="1" x14ac:dyDescent="0.4">
      <c r="A11" s="71" t="s">
        <v>303</v>
      </c>
      <c r="B11" s="74"/>
      <c r="C11" s="95">
        <f>outputs!J40/1000</f>
        <v>6.5987999999999989</v>
      </c>
      <c r="D11" s="106">
        <f>outputs!Q14/1000</f>
        <v>0.9647351589283184</v>
      </c>
      <c r="E11" s="90">
        <f>outputs!K40/1000</f>
        <v>0.50592811803348492</v>
      </c>
      <c r="F11" s="96">
        <f t="shared" si="0"/>
        <v>0.45880704089483348</v>
      </c>
      <c r="G11" s="90">
        <f>(outputs!K40-outputs!O40)/1000</f>
        <v>0.43991999999999998</v>
      </c>
      <c r="H11" s="105">
        <f t="shared" si="1"/>
        <v>0.52481515892831843</v>
      </c>
    </row>
    <row r="13" spans="1:8" s="78" customFormat="1" x14ac:dyDescent="0.35">
      <c r="A13" s="104" t="s">
        <v>325</v>
      </c>
    </row>
    <row r="14" spans="1:8" ht="15" thickBot="1" x14ac:dyDescent="0.4"/>
    <row r="15" spans="1:8" ht="39.5" thickBot="1" x14ac:dyDescent="0.4">
      <c r="A15" s="69"/>
      <c r="B15" s="70" t="s">
        <v>282</v>
      </c>
      <c r="C15" s="69" t="s">
        <v>283</v>
      </c>
      <c r="D15" s="70" t="s">
        <v>284</v>
      </c>
    </row>
    <row r="16" spans="1:8" ht="26.5" thickBot="1" x14ac:dyDescent="0.4">
      <c r="A16" s="71" t="s">
        <v>285</v>
      </c>
      <c r="B16" s="72">
        <f>outputs!E8</f>
        <v>4554.6909948791308</v>
      </c>
      <c r="C16" s="73">
        <f>outputs!H8</f>
        <v>1878.5943221107048</v>
      </c>
      <c r="D16" s="72">
        <f>outputs!H8</f>
        <v>1878.5943221107048</v>
      </c>
    </row>
    <row r="17" spans="1:5" ht="26.5" thickBot="1" x14ac:dyDescent="0.4">
      <c r="A17" s="71" t="s">
        <v>324</v>
      </c>
      <c r="B17" s="103">
        <f>'input data'!B49/15</f>
        <v>466.66666666666669</v>
      </c>
      <c r="C17" s="73">
        <f>outputs!G34</f>
        <v>1040</v>
      </c>
      <c r="D17" s="79">
        <f>outputs!F34</f>
        <v>1196.0475603628488</v>
      </c>
    </row>
    <row r="18" spans="1:5" ht="15" thickBot="1" x14ac:dyDescent="0.4">
      <c r="A18" s="71" t="s">
        <v>286</v>
      </c>
      <c r="B18" s="72">
        <f>B16+B17</f>
        <v>5021.3576615457978</v>
      </c>
      <c r="C18" s="73">
        <f>SUM(C16:C17)</f>
        <v>2918.5943221107045</v>
      </c>
      <c r="D18" s="79">
        <f>SUM(D16:D17)</f>
        <v>3074.6418824735538</v>
      </c>
    </row>
    <row r="19" spans="1:5" ht="26.5" thickBot="1" x14ac:dyDescent="0.4">
      <c r="A19" s="71" t="s">
        <v>287</v>
      </c>
      <c r="B19" s="74"/>
      <c r="C19" s="75">
        <f>B18-C18</f>
        <v>2102.7633394350933</v>
      </c>
      <c r="D19" s="80">
        <f>B18-D18</f>
        <v>1946.715779072244</v>
      </c>
    </row>
    <row r="20" spans="1:5" x14ac:dyDescent="0.35">
      <c r="A20" s="76"/>
    </row>
    <row r="21" spans="1:5" ht="15" thickBot="1" x14ac:dyDescent="0.4"/>
    <row r="22" spans="1:5" ht="15" thickBot="1" x14ac:dyDescent="0.4">
      <c r="A22" s="81" t="s">
        <v>331</v>
      </c>
    </row>
    <row r="23" spans="1:5" ht="15" thickBot="1" x14ac:dyDescent="0.4"/>
    <row r="24" spans="1:5" ht="15" thickBot="1" x14ac:dyDescent="0.4">
      <c r="A24" s="69"/>
      <c r="B24" s="70"/>
      <c r="C24" s="69" t="s">
        <v>315</v>
      </c>
      <c r="D24" s="70" t="s">
        <v>316</v>
      </c>
      <c r="E24" s="2" t="s">
        <v>317</v>
      </c>
    </row>
    <row r="25" spans="1:5" ht="15" thickBot="1" x14ac:dyDescent="0.4">
      <c r="A25" s="115" t="s">
        <v>290</v>
      </c>
      <c r="B25" s="74" t="s">
        <v>291</v>
      </c>
      <c r="C25" s="84">
        <f>'input data'!B10</f>
        <v>66250.000000000029</v>
      </c>
      <c r="D25" s="85">
        <f>'input data'!B$18</f>
        <v>90.6</v>
      </c>
      <c r="E25">
        <v>0</v>
      </c>
    </row>
    <row r="26" spans="1:5" ht="15" thickBot="1" x14ac:dyDescent="0.4">
      <c r="A26" s="116"/>
      <c r="B26" s="74" t="s">
        <v>292</v>
      </c>
      <c r="C26" s="84">
        <f>'input data'!B11</f>
        <v>214999.99999999997</v>
      </c>
      <c r="D26" s="85">
        <f>'input data'!B$18</f>
        <v>90.6</v>
      </c>
      <c r="E26">
        <f>'input data'!B26</f>
        <v>26</v>
      </c>
    </row>
    <row r="27" spans="1:5" ht="15" thickBot="1" x14ac:dyDescent="0.4">
      <c r="A27" s="117"/>
      <c r="B27" s="74" t="s">
        <v>293</v>
      </c>
      <c r="C27" s="84">
        <f>'input data'!B12</f>
        <v>31250</v>
      </c>
      <c r="D27" s="85">
        <f>'input data'!B$18</f>
        <v>90.6</v>
      </c>
      <c r="E27">
        <f>3*'input data'!B28</f>
        <v>25.740000000000002</v>
      </c>
    </row>
    <row r="28" spans="1:5" ht="15" thickBot="1" x14ac:dyDescent="0.4">
      <c r="A28" s="115" t="s">
        <v>294</v>
      </c>
      <c r="B28" s="74" t="s">
        <v>291</v>
      </c>
      <c r="C28" s="84">
        <f>'input data'!B13</f>
        <v>29150.000000000015</v>
      </c>
      <c r="D28" s="85">
        <f>'input data'!B$19</f>
        <v>58.4</v>
      </c>
      <c r="E28">
        <v>0</v>
      </c>
    </row>
    <row r="29" spans="1:5" ht="15" thickBot="1" x14ac:dyDescent="0.4">
      <c r="A29" s="116"/>
      <c r="B29" s="74" t="s">
        <v>292</v>
      </c>
      <c r="C29" s="84">
        <f>'input data'!B14</f>
        <v>94599.999999999985</v>
      </c>
      <c r="D29" s="85">
        <f>'input data'!B$19</f>
        <v>58.4</v>
      </c>
      <c r="E29">
        <f>'input data'!B27</f>
        <v>16.8</v>
      </c>
    </row>
    <row r="30" spans="1:5" ht="15" thickBot="1" x14ac:dyDescent="0.4">
      <c r="A30" s="117"/>
      <c r="B30" s="74" t="s">
        <v>293</v>
      </c>
      <c r="C30" s="84">
        <f>'input data'!B15</f>
        <v>13750</v>
      </c>
      <c r="D30" s="85">
        <f>'input data'!B$19</f>
        <v>58.4</v>
      </c>
      <c r="E30">
        <f>2*'input data'!B28</f>
        <v>17.16</v>
      </c>
    </row>
    <row r="31" spans="1:5" ht="15" thickBot="1" x14ac:dyDescent="0.4">
      <c r="A31" s="83" t="s">
        <v>295</v>
      </c>
      <c r="B31" s="82"/>
      <c r="C31" s="111">
        <f>SUM(C25:C30)</f>
        <v>450000</v>
      </c>
      <c r="D31" s="86"/>
    </row>
    <row r="32" spans="1:5" ht="15" thickBot="1" x14ac:dyDescent="0.4"/>
    <row r="33" spans="1:4" ht="15" thickBot="1" x14ac:dyDescent="0.4">
      <c r="A33" s="81" t="s">
        <v>332</v>
      </c>
    </row>
    <row r="34" spans="1:4" ht="15" thickBot="1" x14ac:dyDescent="0.4"/>
    <row r="35" spans="1:4" ht="26.5" thickBot="1" x14ac:dyDescent="0.4">
      <c r="A35" s="69"/>
      <c r="B35" s="70"/>
      <c r="C35" s="69" t="s">
        <v>288</v>
      </c>
      <c r="D35" s="70" t="s">
        <v>289</v>
      </c>
    </row>
    <row r="36" spans="1:4" ht="15" thickBot="1" x14ac:dyDescent="0.4">
      <c r="A36" s="115" t="s">
        <v>290</v>
      </c>
      <c r="B36" s="74" t="s">
        <v>291</v>
      </c>
      <c r="C36" s="84">
        <f>outputs!K57</f>
        <v>4131.7608024691353</v>
      </c>
      <c r="D36" s="107">
        <f>outputs!U57</f>
        <v>273.72915316358035</v>
      </c>
    </row>
    <row r="37" spans="1:4" ht="15" thickBot="1" x14ac:dyDescent="0.4">
      <c r="A37" s="116"/>
      <c r="B37" s="74" t="s">
        <v>292</v>
      </c>
      <c r="C37" s="84">
        <f>outputs!K58</f>
        <v>6072.6624598541366</v>
      </c>
      <c r="D37" s="85">
        <f>outputs!U58</f>
        <v>1305.6224288686392</v>
      </c>
    </row>
    <row r="38" spans="1:4" ht="15" thickBot="1" x14ac:dyDescent="0.4">
      <c r="A38" s="117"/>
      <c r="B38" s="74" t="s">
        <v>293</v>
      </c>
      <c r="C38" s="84">
        <f>outputs!K59</f>
        <v>3985.5435438579684</v>
      </c>
      <c r="D38" s="85">
        <f>outputs!U59</f>
        <v>124.54823574556151</v>
      </c>
    </row>
    <row r="39" spans="1:4" ht="15" thickBot="1" x14ac:dyDescent="0.4">
      <c r="A39" s="115" t="s">
        <v>294</v>
      </c>
      <c r="B39" s="74" t="s">
        <v>291</v>
      </c>
      <c r="C39" s="84">
        <f>outputs!K60</f>
        <v>2663.2983539094648</v>
      </c>
      <c r="D39" s="85">
        <f>outputs!U60</f>
        <v>77.635147016460934</v>
      </c>
    </row>
    <row r="40" spans="1:4" ht="15" thickBot="1" x14ac:dyDescent="0.4">
      <c r="A40" s="116"/>
      <c r="B40" s="74" t="s">
        <v>292</v>
      </c>
      <c r="C40" s="84">
        <f>outputs!K61</f>
        <v>3914.6530905521581</v>
      </c>
      <c r="D40" s="85">
        <f>outputs!U61</f>
        <v>370.32618236623415</v>
      </c>
    </row>
    <row r="41" spans="1:4" ht="15" thickBot="1" x14ac:dyDescent="0.4">
      <c r="A41" s="117"/>
      <c r="B41" s="74" t="s">
        <v>293</v>
      </c>
      <c r="C41" s="84">
        <f>outputs!K62</f>
        <v>2750.4995805159715</v>
      </c>
      <c r="D41" s="85">
        <f>outputs!U62</f>
        <v>37.819369232094608</v>
      </c>
    </row>
    <row r="42" spans="1:4" ht="15" thickBot="1" x14ac:dyDescent="0.4">
      <c r="A42" s="71" t="s">
        <v>295</v>
      </c>
      <c r="B42" s="82"/>
      <c r="C42" s="71"/>
      <c r="D42" s="86">
        <f>outputs!U64</f>
        <v>2189.6805163925706</v>
      </c>
    </row>
    <row r="45" spans="1:4" x14ac:dyDescent="0.35">
      <c r="A45" s="77" t="s">
        <v>333</v>
      </c>
    </row>
    <row r="46" spans="1:4" ht="15" thickBot="1" x14ac:dyDescent="0.4"/>
    <row r="47" spans="1:4" ht="26.5" thickBot="1" x14ac:dyDescent="0.4">
      <c r="A47" s="69"/>
      <c r="B47" s="70"/>
      <c r="C47" s="69" t="s">
        <v>296</v>
      </c>
      <c r="D47" s="70" t="s">
        <v>297</v>
      </c>
    </row>
    <row r="48" spans="1:4" ht="15" thickBot="1" x14ac:dyDescent="0.4">
      <c r="A48" s="115" t="s">
        <v>290</v>
      </c>
      <c r="B48" s="74" t="s">
        <v>291</v>
      </c>
      <c r="C48" s="73">
        <f>outputs!I7</f>
        <v>1793.4911620580242</v>
      </c>
      <c r="D48" s="87">
        <f>outputs!Q7</f>
        <v>118.81878948634416</v>
      </c>
    </row>
    <row r="49" spans="1:6" ht="15" thickBot="1" x14ac:dyDescent="0.4">
      <c r="A49" s="116"/>
      <c r="B49" s="74" t="s">
        <v>292</v>
      </c>
      <c r="C49" s="73">
        <f>outputs!I8</f>
        <v>2676.0966727684263</v>
      </c>
      <c r="D49" s="88">
        <f>outputs!Q8</f>
        <v>575.36078464521154</v>
      </c>
    </row>
    <row r="50" spans="1:6" ht="15" thickBot="1" x14ac:dyDescent="0.4">
      <c r="A50" s="117"/>
      <c r="B50" s="74" t="s">
        <v>293</v>
      </c>
      <c r="C50" s="73">
        <f>outputs!I9</f>
        <v>1863.3854096016507</v>
      </c>
      <c r="D50" s="88">
        <f>outputs!Q9</f>
        <v>58.230794050051585</v>
      </c>
    </row>
    <row r="51" spans="1:6" ht="15" thickBot="1" x14ac:dyDescent="0.4">
      <c r="A51" s="115" t="s">
        <v>294</v>
      </c>
      <c r="B51" s="74" t="s">
        <v>291</v>
      </c>
      <c r="C51" s="73">
        <f>outputs!I10</f>
        <v>1141.853022783539</v>
      </c>
      <c r="D51" s="88">
        <f>outputs!Q10</f>
        <v>33.285015614140178</v>
      </c>
    </row>
    <row r="52" spans="1:6" ht="15" thickBot="1" x14ac:dyDescent="0.4">
      <c r="A52" s="116"/>
      <c r="B52" s="74" t="s">
        <v>292</v>
      </c>
      <c r="C52" s="73">
        <f>outputs!I11</f>
        <v>1718.0013154699946</v>
      </c>
      <c r="D52" s="88">
        <f>outputs!Q11</f>
        <v>162.52292444346145</v>
      </c>
    </row>
    <row r="53" spans="1:6" ht="15" thickBot="1" x14ac:dyDescent="0.4">
      <c r="A53" s="117"/>
      <c r="B53" s="74" t="s">
        <v>293</v>
      </c>
      <c r="C53" s="73">
        <f>outputs!I12</f>
        <v>1201.2255046625041</v>
      </c>
      <c r="D53" s="88">
        <f>outputs!Q12</f>
        <v>16.516850689109432</v>
      </c>
    </row>
    <row r="54" spans="1:6" ht="15" thickBot="1" x14ac:dyDescent="0.4">
      <c r="A54" s="71" t="s">
        <v>295</v>
      </c>
      <c r="B54" s="82"/>
      <c r="C54" s="71"/>
      <c r="D54" s="89">
        <f>outputs!Q14</f>
        <v>964.73515892831836</v>
      </c>
    </row>
    <row r="57" spans="1:6" x14ac:dyDescent="0.35">
      <c r="A57" s="77" t="s">
        <v>336</v>
      </c>
    </row>
    <row r="58" spans="1:6" ht="15" thickBot="1" x14ac:dyDescent="0.4"/>
    <row r="59" spans="1:6" ht="26.5" thickBot="1" x14ac:dyDescent="0.4">
      <c r="A59" s="69"/>
      <c r="B59" s="112" t="s">
        <v>298</v>
      </c>
      <c r="C59" s="70" t="s">
        <v>299</v>
      </c>
      <c r="D59" s="69" t="s">
        <v>300</v>
      </c>
      <c r="E59" s="70" t="s">
        <v>301</v>
      </c>
      <c r="F59" s="69" t="s">
        <v>302</v>
      </c>
    </row>
    <row r="60" spans="1:6" ht="15" thickBot="1" x14ac:dyDescent="0.4">
      <c r="A60" s="115" t="s">
        <v>290</v>
      </c>
      <c r="B60" s="113" t="s">
        <v>291</v>
      </c>
      <c r="C60" s="72">
        <f>outputs!C20</f>
        <v>12600</v>
      </c>
      <c r="D60" s="92">
        <f>outputs!M20</f>
        <v>7.0254040089841023</v>
      </c>
      <c r="E60" s="72">
        <f>outputs!F20</f>
        <v>11460</v>
      </c>
      <c r="F60" s="92">
        <f>outputs!I20</f>
        <v>6.1500964539858058</v>
      </c>
    </row>
    <row r="61" spans="1:6" ht="15" thickBot="1" x14ac:dyDescent="0.4">
      <c r="A61" s="116"/>
      <c r="B61" s="113" t="s">
        <v>292</v>
      </c>
      <c r="C61" s="72">
        <f>outputs!C21</f>
        <v>15600</v>
      </c>
      <c r="D61" s="92">
        <f>outputs!M21</f>
        <v>5.8293858210517389</v>
      </c>
      <c r="E61" s="72">
        <f>outputs!F21</f>
        <v>8600</v>
      </c>
      <c r="F61" s="92">
        <f>outputs!I21</f>
        <v>3.2136357731439076</v>
      </c>
    </row>
    <row r="62" spans="1:6" ht="15" thickBot="1" x14ac:dyDescent="0.4">
      <c r="A62" s="117"/>
      <c r="B62" s="113" t="s">
        <v>293</v>
      </c>
      <c r="C62" s="72">
        <f>outputs!C22</f>
        <v>12600</v>
      </c>
      <c r="D62" s="92">
        <f>outputs!M22</f>
        <v>6.7618861535969588</v>
      </c>
      <c r="E62" s="72">
        <f>outputs!F22</f>
        <v>11460</v>
      </c>
      <c r="F62" s="92">
        <f>outputs!I22</f>
        <v>6.1500964539858058</v>
      </c>
    </row>
    <row r="63" spans="1:6" ht="15" thickBot="1" x14ac:dyDescent="0.4">
      <c r="A63" s="115" t="s">
        <v>294</v>
      </c>
      <c r="B63" s="113" t="s">
        <v>291</v>
      </c>
      <c r="C63" s="72">
        <f>outputs!C23</f>
        <v>12600</v>
      </c>
      <c r="D63" s="92">
        <f>outputs!M23</f>
        <v>11.034695139033301</v>
      </c>
      <c r="E63" s="72">
        <f>outputs!F23</f>
        <v>11840</v>
      </c>
      <c r="F63" s="92">
        <f>outputs!I23</f>
        <v>9.8566005750323811</v>
      </c>
    </row>
    <row r="64" spans="1:6" ht="15" thickBot="1" x14ac:dyDescent="0.4">
      <c r="A64" s="116"/>
      <c r="B64" s="113" t="s">
        <v>292</v>
      </c>
      <c r="C64" s="72">
        <f>outputs!C24</f>
        <v>15600</v>
      </c>
      <c r="D64" s="92">
        <f>outputs!M24</f>
        <v>9.0803190076325979</v>
      </c>
      <c r="E64" s="72">
        <f>outputs!F24</f>
        <v>8600</v>
      </c>
      <c r="F64" s="92">
        <f>outputs!I24</f>
        <v>5.0058168888230989</v>
      </c>
    </row>
    <row r="65" spans="1:6" ht="15" thickBot="1" x14ac:dyDescent="0.4">
      <c r="A65" s="117"/>
      <c r="B65" s="113" t="s">
        <v>293</v>
      </c>
      <c r="C65" s="72">
        <f>outputs!C25</f>
        <v>12600</v>
      </c>
      <c r="D65" s="92">
        <f>outputs!M25</f>
        <v>10.489287774105405</v>
      </c>
      <c r="E65" s="72">
        <f>outputs!F25</f>
        <v>11840</v>
      </c>
      <c r="F65" s="92">
        <f>outputs!I25</f>
        <v>9.8566005750323811</v>
      </c>
    </row>
    <row r="66" spans="1:6" ht="26.5" thickBot="1" x14ac:dyDescent="0.4">
      <c r="A66" s="71" t="s">
        <v>303</v>
      </c>
      <c r="B66" s="113"/>
      <c r="C66" s="91">
        <f>outputs!P27/1000</f>
        <v>6.5987999999999989</v>
      </c>
      <c r="D66" s="93">
        <f>outputs!AA27</f>
        <v>7.2332159060889785</v>
      </c>
      <c r="E66" s="94">
        <f>outputs!T27/1000</f>
        <v>4.287846</v>
      </c>
      <c r="F66" s="93">
        <f>outputs!W27</f>
        <v>4.8599211952024675</v>
      </c>
    </row>
    <row r="68" spans="1:6" x14ac:dyDescent="0.35">
      <c r="A68" t="s">
        <v>334</v>
      </c>
    </row>
    <row r="71" spans="1:6" x14ac:dyDescent="0.35">
      <c r="A71" s="77" t="s">
        <v>335</v>
      </c>
    </row>
    <row r="72" spans="1:6" ht="15" thickBot="1" x14ac:dyDescent="0.4"/>
    <row r="73" spans="1:6" ht="26.5" thickBot="1" x14ac:dyDescent="0.4">
      <c r="A73" s="69"/>
      <c r="B73" s="70" t="s">
        <v>298</v>
      </c>
      <c r="C73" s="69" t="s">
        <v>310</v>
      </c>
      <c r="D73" s="70" t="s">
        <v>311</v>
      </c>
    </row>
    <row r="74" spans="1:6" ht="15" thickBot="1" x14ac:dyDescent="0.4">
      <c r="A74" s="115" t="s">
        <v>290</v>
      </c>
      <c r="B74" s="74" t="s">
        <v>291</v>
      </c>
      <c r="C74" s="97">
        <f>outputs!J33</f>
        <v>834.75000000000034</v>
      </c>
      <c r="D74" s="99">
        <f>outputs!O33</f>
        <v>8.3500449367235916</v>
      </c>
    </row>
    <row r="75" spans="1:6" ht="15" thickBot="1" x14ac:dyDescent="0.4">
      <c r="A75" s="116"/>
      <c r="B75" s="74" t="s">
        <v>292</v>
      </c>
      <c r="C75" s="97">
        <f>outputs!J34</f>
        <v>3353.9999999999995</v>
      </c>
      <c r="D75" s="99">
        <f>outputs!O34</f>
        <v>33.550225478012464</v>
      </c>
    </row>
    <row r="76" spans="1:6" ht="15" thickBot="1" x14ac:dyDescent="0.4">
      <c r="A76" s="117"/>
      <c r="B76" s="74" t="s">
        <v>293</v>
      </c>
      <c r="C76" s="97">
        <f>outputs!J35</f>
        <v>393.75</v>
      </c>
      <c r="D76" s="99">
        <f>outputs!O35</f>
        <v>3.9387004418507452</v>
      </c>
    </row>
    <row r="77" spans="1:6" ht="15" thickBot="1" x14ac:dyDescent="0.4">
      <c r="A77" s="115" t="s">
        <v>294</v>
      </c>
      <c r="B77" s="74" t="s">
        <v>291</v>
      </c>
      <c r="C77" s="97">
        <f>outputs!J36</f>
        <v>367.29000000000019</v>
      </c>
      <c r="D77" s="99">
        <f>outputs!O36</f>
        <v>3.6740197721583741</v>
      </c>
    </row>
    <row r="78" spans="1:6" ht="15" thickBot="1" x14ac:dyDescent="0.4">
      <c r="A78" s="116"/>
      <c r="B78" s="74" t="s">
        <v>292</v>
      </c>
      <c r="C78" s="97">
        <f>outputs!J37</f>
        <v>1475.7599999999998</v>
      </c>
      <c r="D78" s="99">
        <f>outputs!O37</f>
        <v>14.762099210325474</v>
      </c>
    </row>
    <row r="79" spans="1:6" ht="15" thickBot="1" x14ac:dyDescent="0.4">
      <c r="A79" s="117"/>
      <c r="B79" s="74" t="s">
        <v>293</v>
      </c>
      <c r="C79" s="97">
        <f>outputs!J38</f>
        <v>173.25</v>
      </c>
      <c r="D79" s="99">
        <f>outputs!O38</f>
        <v>1.7330281944143273</v>
      </c>
    </row>
    <row r="80" spans="1:6" ht="15" thickBot="1" x14ac:dyDescent="0.4">
      <c r="A80" s="71" t="s">
        <v>295</v>
      </c>
      <c r="B80" s="82"/>
      <c r="C80" s="98">
        <f>outputs!J40</f>
        <v>6598.7999999999993</v>
      </c>
      <c r="D80" s="94">
        <f>outputs!O40</f>
        <v>66.008118033484976</v>
      </c>
    </row>
  </sheetData>
  <mergeCells count="12">
    <mergeCell ref="A74:A76"/>
    <mergeCell ref="A77:A79"/>
    <mergeCell ref="A51:A53"/>
    <mergeCell ref="A60:A62"/>
    <mergeCell ref="A63:A65"/>
    <mergeCell ref="A5:A7"/>
    <mergeCell ref="A8:A10"/>
    <mergeCell ref="A36:A38"/>
    <mergeCell ref="A39:A41"/>
    <mergeCell ref="A48:A50"/>
    <mergeCell ref="A25:A27"/>
    <mergeCell ref="A28:A3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4"/>
  <sheetViews>
    <sheetView topLeftCell="A31" workbookViewId="0">
      <pane xSplit="1" topLeftCell="G1" activePane="topRight" state="frozen"/>
      <selection activeCell="A17" sqref="A17"/>
      <selection pane="topRight" activeCell="S32" sqref="S32"/>
    </sheetView>
  </sheetViews>
  <sheetFormatPr defaultRowHeight="14.5" x14ac:dyDescent="0.35"/>
  <cols>
    <col min="1" max="2" width="17.26953125" style="2" customWidth="1"/>
    <col min="3" max="6" width="13.54296875" bestFit="1" customWidth="1"/>
    <col min="7" max="7" width="14.1796875" bestFit="1" customWidth="1"/>
    <col min="8" max="8" width="11.36328125" bestFit="1" customWidth="1"/>
    <col min="9" max="9" width="10.36328125" bestFit="1" customWidth="1"/>
    <col min="10" max="10" width="14" bestFit="1" customWidth="1"/>
    <col min="11" max="11" width="13" customWidth="1"/>
    <col min="12" max="12" width="13.1796875" customWidth="1"/>
    <col min="13" max="13" width="10.36328125" bestFit="1" customWidth="1"/>
    <col min="14" max="14" width="12.6328125" customWidth="1"/>
    <col min="15" max="15" width="10.36328125" bestFit="1" customWidth="1"/>
    <col min="16" max="16" width="11.36328125" bestFit="1" customWidth="1"/>
    <col min="17" max="18" width="10.36328125" bestFit="1" customWidth="1"/>
    <col min="19" max="19" width="11" bestFit="1" customWidth="1"/>
    <col min="28" max="28" width="11.453125" bestFit="1" customWidth="1"/>
    <col min="29" max="29" width="10" bestFit="1" customWidth="1"/>
  </cols>
  <sheetData>
    <row r="1" spans="1:18" x14ac:dyDescent="0.35">
      <c r="A1" s="123" t="s">
        <v>274</v>
      </c>
      <c r="B1" s="123"/>
      <c r="C1" s="123"/>
      <c r="D1" s="123"/>
      <c r="E1" s="123"/>
      <c r="F1" s="123"/>
      <c r="G1" s="123"/>
      <c r="H1" s="123"/>
    </row>
    <row r="2" spans="1:18" ht="42" customHeight="1" x14ac:dyDescent="0.35">
      <c r="A2" s="123"/>
      <c r="B2" s="123"/>
      <c r="C2" s="123"/>
      <c r="D2" s="123"/>
      <c r="E2" s="123"/>
      <c r="F2" s="123"/>
      <c r="G2" s="123"/>
      <c r="H2" s="123"/>
    </row>
    <row r="4" spans="1:18" s="1" customFormat="1" ht="21" x14ac:dyDescent="0.5">
      <c r="A4" s="19" t="s">
        <v>59</v>
      </c>
      <c r="B4" s="19"/>
    </row>
    <row r="5" spans="1:18" s="3" customFormat="1" ht="21" x14ac:dyDescent="0.5">
      <c r="A5" s="23"/>
      <c r="B5" s="120" t="s">
        <v>122</v>
      </c>
      <c r="C5" s="120"/>
      <c r="D5" s="120"/>
      <c r="E5" s="120"/>
      <c r="F5" s="120"/>
      <c r="G5" s="120"/>
      <c r="H5" s="120"/>
      <c r="I5" s="120"/>
      <c r="K5" s="120" t="s">
        <v>123</v>
      </c>
      <c r="L5" s="120"/>
      <c r="M5" s="120"/>
      <c r="N5" s="120"/>
      <c r="O5" s="120"/>
      <c r="P5" s="120"/>
      <c r="Q5" s="120"/>
    </row>
    <row r="6" spans="1:18" s="7" customFormat="1" ht="72.5" x14ac:dyDescent="0.35">
      <c r="A6" s="17"/>
      <c r="B6" s="17"/>
      <c r="C6" s="17" t="s">
        <v>124</v>
      </c>
      <c r="D6" s="17" t="s">
        <v>125</v>
      </c>
      <c r="E6" s="17" t="s">
        <v>132</v>
      </c>
      <c r="F6" s="17" t="s">
        <v>126</v>
      </c>
      <c r="G6" s="17" t="s">
        <v>127</v>
      </c>
      <c r="H6" s="17" t="s">
        <v>243</v>
      </c>
      <c r="I6" s="17" t="s">
        <v>128</v>
      </c>
      <c r="J6" s="17"/>
      <c r="K6" s="17" t="s">
        <v>140</v>
      </c>
      <c r="L6" s="17" t="s">
        <v>141</v>
      </c>
      <c r="M6" s="17" t="s">
        <v>142</v>
      </c>
      <c r="N6" s="17" t="s">
        <v>143</v>
      </c>
      <c r="O6" s="17" t="s">
        <v>144</v>
      </c>
      <c r="P6" s="17" t="s">
        <v>145</v>
      </c>
      <c r="Q6" s="17" t="s">
        <v>146</v>
      </c>
    </row>
    <row r="7" spans="1:18" s="7" customFormat="1" x14ac:dyDescent="0.35">
      <c r="A7" s="17" t="s">
        <v>112</v>
      </c>
      <c r="B7" s="17" t="s">
        <v>113</v>
      </c>
      <c r="C7" s="5">
        <f>'input data'!B18/'input data'!B$31/'input data'!B$69*'input data'!B$42</f>
        <v>4160.021964333333</v>
      </c>
      <c r="D7" s="20">
        <v>0</v>
      </c>
      <c r="E7" s="5">
        <f t="shared" ref="E7:E10" si="0">C7+D7</f>
        <v>4160.021964333333</v>
      </c>
      <c r="F7" s="5">
        <f>(C7*'input data'!B$31/'input data'!B$36)*'input data'!B$23 +(1-'input data'!B$23)*C7</f>
        <v>2326.5308022753088</v>
      </c>
      <c r="G7" s="5">
        <v>0</v>
      </c>
      <c r="H7" s="5">
        <f>F7+G7+'input data'!B$43</f>
        <v>2366.5308022753088</v>
      </c>
      <c r="I7" s="5">
        <f t="shared" ref="I7:I12" si="1">E7-H7</f>
        <v>1793.4911620580242</v>
      </c>
      <c r="J7" s="17"/>
      <c r="K7" s="24">
        <f>C7*'input data'!$B10/1000000</f>
        <v>275.60145513708341</v>
      </c>
      <c r="L7" s="24">
        <f>D7*'input data'!$B10/1000000</f>
        <v>0</v>
      </c>
      <c r="M7" s="24">
        <f>E7*'input data'!$B10/1000000</f>
        <v>275.60145513708341</v>
      </c>
      <c r="N7" s="24">
        <f>F7*'input data'!$B10/1000000</f>
        <v>154.13266565073928</v>
      </c>
      <c r="O7" s="24">
        <f>G7*'input data'!$B10/1000000</f>
        <v>0</v>
      </c>
      <c r="P7" s="24">
        <f>H7*'input data'!$B10/1000000</f>
        <v>156.78266565073929</v>
      </c>
      <c r="Q7" s="24">
        <f>I7*'input data'!$B10/1000000</f>
        <v>118.81878948634416</v>
      </c>
    </row>
    <row r="8" spans="1:18" s="7" customFormat="1" x14ac:dyDescent="0.35">
      <c r="A8" s="17"/>
      <c r="B8" s="17" t="s">
        <v>114</v>
      </c>
      <c r="C8" s="5">
        <f>'input data'!B18/'input data'!B$31/'input data'!B$69*'input data'!B$42</f>
        <v>4160.021964333333</v>
      </c>
      <c r="D8" s="5">
        <f>'input data'!B26/'input data'!B$33/'input data'!B$69*'input data'!B$42</f>
        <v>374.66903054579814</v>
      </c>
      <c r="E8" s="5">
        <f>C8+D8 +'input data'!B44</f>
        <v>4554.6909948791308</v>
      </c>
      <c r="F8" s="5">
        <f>(C8*'input data'!B$31/'input data'!B$36)*'input data'!B$22 +(1-'input data'!B$22)*C8</f>
        <v>1540.7488756790121</v>
      </c>
      <c r="G8" s="5">
        <f>'input data'!B$26/'input data'!B$38/'input data'!B$69*'input data'!B$42</f>
        <v>297.84544643169255</v>
      </c>
      <c r="H8" s="5">
        <f>F8+G8+'input data'!B$43</f>
        <v>1878.5943221107048</v>
      </c>
      <c r="I8" s="5">
        <f t="shared" si="1"/>
        <v>2676.0966727684263</v>
      </c>
      <c r="J8" s="17"/>
      <c r="K8" s="24">
        <f>C8*'input data'!$B11/1000000</f>
        <v>894.40472233166645</v>
      </c>
      <c r="L8" s="24">
        <f>D8*'input data'!$B11/1000000</f>
        <v>80.553841567346595</v>
      </c>
      <c r="M8" s="24">
        <f>E8*'input data'!$B11/1000000</f>
        <v>979.2585638990131</v>
      </c>
      <c r="N8" s="24">
        <f>F8*'input data'!$B11/1000000</f>
        <v>331.26100827098759</v>
      </c>
      <c r="O8" s="24">
        <f>G8*'input data'!$B11/1000000</f>
        <v>64.036770982813891</v>
      </c>
      <c r="P8" s="24">
        <f>H8*'input data'!$B11/1000000</f>
        <v>403.89777925380145</v>
      </c>
      <c r="Q8" s="24">
        <f>I8*'input data'!$B11/1000000</f>
        <v>575.36078464521154</v>
      </c>
    </row>
    <row r="9" spans="1:18" x14ac:dyDescent="0.35">
      <c r="B9" s="2" t="s">
        <v>115</v>
      </c>
      <c r="C9" s="5">
        <f>'input data'!B18/'input data'!B$31/'input data'!B$69*'input data'!B$42</f>
        <v>4160.021964333333</v>
      </c>
      <c r="D9" s="5">
        <f>'input data'!B$28/'input data'!B$35/'input data'!B$69*'input data'!B$42*3</f>
        <v>347.73969397531891</v>
      </c>
      <c r="E9" s="5">
        <f>C9+D9 +'input data'!B44</f>
        <v>4527.7616583086519</v>
      </c>
      <c r="F9" s="5">
        <f>(C9*'input data'!B$31/'input data'!B$36)*'input data'!B$23 +(1-'input data'!B$23)*C9</f>
        <v>2326.5308022753088</v>
      </c>
      <c r="G9" s="5">
        <f>'input data'!B$26/'input data'!B$38/'input data'!B$69*'input data'!B$42</f>
        <v>297.84544643169255</v>
      </c>
      <c r="H9" s="5">
        <f>F9+G9+'input data'!B$43</f>
        <v>2664.3762487070012</v>
      </c>
      <c r="I9" s="5">
        <f t="shared" si="1"/>
        <v>1863.3854096016507</v>
      </c>
      <c r="J9" s="5"/>
      <c r="K9" s="24">
        <f>C9*'input data'!$B12/1000000</f>
        <v>130.00068638541666</v>
      </c>
      <c r="L9" s="24">
        <f>D9*'input data'!$B12/1000000</f>
        <v>10.866865436728716</v>
      </c>
      <c r="M9" s="24">
        <f>E9*'input data'!$B12/1000000</f>
        <v>141.49255182214537</v>
      </c>
      <c r="N9" s="24">
        <f>F9*'input data'!$B12/1000000</f>
        <v>72.7040875711034</v>
      </c>
      <c r="O9" s="24">
        <f>G9*'input data'!$B12/1000000</f>
        <v>9.3076702009903922</v>
      </c>
      <c r="P9" s="24">
        <f>H9*'input data'!$B12/1000000</f>
        <v>83.261757772093787</v>
      </c>
      <c r="Q9" s="24">
        <f>I9*'input data'!$B12/1000000</f>
        <v>58.230794050051585</v>
      </c>
    </row>
    <row r="10" spans="1:18" x14ac:dyDescent="0.35">
      <c r="A10" s="2" t="s">
        <v>116</v>
      </c>
      <c r="B10" s="17" t="s">
        <v>113</v>
      </c>
      <c r="C10" s="5">
        <f>'input data'!B19/'input data'!B$31/'input data'!B$69*'input data'!B$42</f>
        <v>2681.5152617777781</v>
      </c>
      <c r="D10" s="5">
        <v>0</v>
      </c>
      <c r="E10" s="5">
        <f t="shared" si="0"/>
        <v>2681.5152617777781</v>
      </c>
      <c r="F10" s="5">
        <f>(C10*'input data'!B$31/'input data'!B$36)*'input data'!B$23 +(1-'input data'!B$23)*C10</f>
        <v>1499.662238994239</v>
      </c>
      <c r="G10" s="5">
        <v>0</v>
      </c>
      <c r="H10" s="5">
        <f>F10+G10+'input data'!B$43</f>
        <v>1539.662238994239</v>
      </c>
      <c r="I10" s="5">
        <f t="shared" si="1"/>
        <v>1141.853022783539</v>
      </c>
      <c r="J10" s="5"/>
      <c r="K10" s="24">
        <f>C10*'input data'!$B13/1000000</f>
        <v>78.166169880822267</v>
      </c>
      <c r="L10" s="24">
        <f>D10*'input data'!$B13/1000000</f>
        <v>0</v>
      </c>
      <c r="M10" s="24">
        <f>E10*'input data'!$B13/1000000</f>
        <v>78.166169880822267</v>
      </c>
      <c r="N10" s="24">
        <f>F10*'input data'!$B13/1000000</f>
        <v>43.715154266682092</v>
      </c>
      <c r="O10" s="24">
        <f>G10*'input data'!$B13/1000000</f>
        <v>0</v>
      </c>
      <c r="P10" s="24">
        <f>H10*'input data'!$B13/1000000</f>
        <v>44.881154266682088</v>
      </c>
      <c r="Q10" s="24">
        <f>I10*'input data'!$B13/1000000</f>
        <v>33.285015614140178</v>
      </c>
    </row>
    <row r="11" spans="1:18" x14ac:dyDescent="0.35">
      <c r="B11" s="17" t="s">
        <v>114</v>
      </c>
      <c r="C11" s="5">
        <f>'input data'!B19/'input data'!B$31/'input data'!B$69*'input data'!B$42</f>
        <v>2681.5152617777781</v>
      </c>
      <c r="D11" s="5">
        <f>'input data'!B27/'input data'!B$33/'input data'!B$69*'input data'!B$42</f>
        <v>242.09383512190036</v>
      </c>
      <c r="E11" s="5">
        <f>C11+D11 + 'input data'!B44</f>
        <v>2943.6090968996782</v>
      </c>
      <c r="F11" s="5">
        <f>(C11*'input data'!B$31/'input data'!B$36)*'input data'!B$22 +(1-'input data'!B$22)*C11</f>
        <v>993.15380065843624</v>
      </c>
      <c r="G11" s="5">
        <f>'input data'!B$27/'input data'!B$38/'input data'!B$69*'input data'!B$42</f>
        <v>192.45398077124753</v>
      </c>
      <c r="H11" s="5">
        <f>F11+G11+'input data'!B$43</f>
        <v>1225.6077814296837</v>
      </c>
      <c r="I11" s="5">
        <f t="shared" si="1"/>
        <v>1718.0013154699946</v>
      </c>
      <c r="J11" s="5"/>
      <c r="K11" s="24">
        <f>C11*'input data'!$B14/1000000</f>
        <v>253.67134376417778</v>
      </c>
      <c r="L11" s="24">
        <f>D11*'input data'!$B14/1000000</f>
        <v>22.90207680253177</v>
      </c>
      <c r="M11" s="24">
        <f>E11*'input data'!$B14/1000000</f>
        <v>278.4654205667095</v>
      </c>
      <c r="N11" s="24">
        <f>F11*'input data'!$B14/1000000</f>
        <v>93.952349542288047</v>
      </c>
      <c r="O11" s="24">
        <f>G11*'input data'!$B14/1000000</f>
        <v>18.206146580960013</v>
      </c>
      <c r="P11" s="24">
        <f>H11*'input data'!$B14/1000000</f>
        <v>115.94249612324806</v>
      </c>
      <c r="Q11" s="24">
        <f>I11*'input data'!$B14/1000000</f>
        <v>162.52292444346145</v>
      </c>
    </row>
    <row r="12" spans="1:18" x14ac:dyDescent="0.35">
      <c r="B12" s="2" t="s">
        <v>115</v>
      </c>
      <c r="C12" s="5">
        <f>'input data'!B19/'input data'!B$31/'input data'!B$69*'input data'!B$42</f>
        <v>2681.5152617777781</v>
      </c>
      <c r="D12" s="5">
        <f>'input data'!B$28/'input data'!B$35/'input data'!B$69*'input data'!B$42*2</f>
        <v>231.82646265021262</v>
      </c>
      <c r="E12" s="5">
        <f>C12+D12 +'input data'!B44</f>
        <v>2933.3417244279908</v>
      </c>
      <c r="F12" s="5">
        <f>(C12*'input data'!B$31/'input data'!B$36)*'input data'!B$23 +(1-'input data'!B$23)*C12</f>
        <v>1499.662238994239</v>
      </c>
      <c r="G12" s="5">
        <f>'input data'!B$27/'input data'!B$38/'input data'!B$69*'input data'!B$42</f>
        <v>192.45398077124753</v>
      </c>
      <c r="H12" s="5">
        <f>F12+G12+'input data'!B$43</f>
        <v>1732.1162197654867</v>
      </c>
      <c r="I12" s="5">
        <f t="shared" si="1"/>
        <v>1201.2255046625041</v>
      </c>
      <c r="J12" s="5"/>
      <c r="K12" s="24">
        <f>C12*'input data'!$B15/1000000</f>
        <v>36.870834849444449</v>
      </c>
      <c r="L12" s="24">
        <f>D12*'input data'!$B15/1000000</f>
        <v>3.1876138614404232</v>
      </c>
      <c r="M12" s="24">
        <f>E12*'input data'!$B15/1000000</f>
        <v>40.333448710884873</v>
      </c>
      <c r="N12" s="24">
        <f>F12*'input data'!$B15/1000000</f>
        <v>20.620355786170787</v>
      </c>
      <c r="O12" s="24">
        <f>G12*'input data'!$B15/1000000</f>
        <v>2.6462422356046535</v>
      </c>
      <c r="P12" s="24">
        <f>H12*'input data'!$B15/1000000</f>
        <v>23.816598021775444</v>
      </c>
      <c r="Q12" s="24">
        <f>I12*'input data'!$B15/1000000</f>
        <v>16.516850689109432</v>
      </c>
    </row>
    <row r="13" spans="1:18" x14ac:dyDescent="0.35">
      <c r="I13" s="5"/>
      <c r="R13">
        <f>Q14/'input data'!B8*1000000*15</f>
        <v>32157.838630943945</v>
      </c>
    </row>
    <row r="14" spans="1:18" s="2" customFormat="1" x14ac:dyDescent="0.35">
      <c r="A14" s="2" t="s">
        <v>57</v>
      </c>
      <c r="C14" s="25"/>
      <c r="D14" s="25"/>
      <c r="E14" s="25"/>
      <c r="F14" s="25"/>
      <c r="G14" s="25"/>
      <c r="H14" s="25"/>
      <c r="I14" s="25"/>
      <c r="K14" s="26">
        <f t="shared" ref="K14:Q14" si="2">SUM(K7:K12)</f>
        <v>1668.715212348611</v>
      </c>
      <c r="L14" s="26">
        <f t="shared" si="2"/>
        <v>117.5103976680475</v>
      </c>
      <c r="M14" s="26">
        <f t="shared" si="2"/>
        <v>1793.3176100166584</v>
      </c>
      <c r="N14" s="26">
        <f t="shared" si="2"/>
        <v>716.38562108797123</v>
      </c>
      <c r="O14" s="26">
        <f t="shared" si="2"/>
        <v>94.196830000368948</v>
      </c>
      <c r="P14" s="26">
        <f t="shared" si="2"/>
        <v>828.58245108834012</v>
      </c>
      <c r="Q14" s="26">
        <f t="shared" si="2"/>
        <v>964.73515892831836</v>
      </c>
    </row>
    <row r="15" spans="1:18" x14ac:dyDescent="0.35">
      <c r="A15" s="17"/>
      <c r="B15" s="17"/>
    </row>
    <row r="16" spans="1:18" s="1" customFormat="1" ht="21" x14ac:dyDescent="0.5">
      <c r="A16" s="19" t="s">
        <v>58</v>
      </c>
      <c r="B16" s="19"/>
    </row>
    <row r="17" spans="1:31" s="3" customFormat="1" ht="21" x14ac:dyDescent="0.5">
      <c r="A17" s="23"/>
      <c r="B17" s="23"/>
      <c r="C17" s="120" t="s">
        <v>122</v>
      </c>
      <c r="D17" s="122"/>
      <c r="E17" s="122"/>
      <c r="F17" s="122"/>
      <c r="G17" s="122"/>
      <c r="H17" s="122"/>
      <c r="I17" s="122"/>
      <c r="J17" s="122"/>
      <c r="K17" s="122"/>
      <c r="L17" s="122"/>
      <c r="M17" s="122"/>
      <c r="P17" s="121" t="s">
        <v>265</v>
      </c>
      <c r="Q17" s="121"/>
      <c r="R17" s="121"/>
      <c r="S17" s="121"/>
      <c r="T17" s="121"/>
      <c r="U17" s="121"/>
      <c r="V17" s="121"/>
      <c r="W17" s="121"/>
      <c r="X17" s="121"/>
      <c r="Y17" s="121"/>
      <c r="Z17" s="121"/>
      <c r="AA17" s="121"/>
      <c r="AB17" s="121"/>
      <c r="AC17" s="121"/>
    </row>
    <row r="18" spans="1:31" s="3" customFormat="1" ht="21" x14ac:dyDescent="0.5">
      <c r="A18" s="23"/>
      <c r="B18" s="23"/>
      <c r="C18" s="42"/>
      <c r="D18" s="42"/>
      <c r="E18" s="61"/>
      <c r="F18" s="125" t="s">
        <v>328</v>
      </c>
      <c r="G18" s="125"/>
      <c r="H18" s="125"/>
      <c r="I18" s="125"/>
      <c r="K18" s="121" t="s">
        <v>241</v>
      </c>
      <c r="L18" s="121"/>
      <c r="M18" s="121"/>
      <c r="N18" s="44"/>
      <c r="O18" s="44"/>
      <c r="P18" s="42"/>
      <c r="Q18" s="42"/>
      <c r="R18" s="61"/>
      <c r="S18" s="125" t="s">
        <v>259</v>
      </c>
      <c r="T18" s="125"/>
      <c r="U18" s="125"/>
      <c r="V18" s="125"/>
      <c r="X18" s="121" t="s">
        <v>260</v>
      </c>
      <c r="Y18" s="121"/>
      <c r="Z18" s="121"/>
      <c r="AB18" s="54" t="s">
        <v>261</v>
      </c>
      <c r="AC18" s="54"/>
    </row>
    <row r="19" spans="1:31" s="7" customFormat="1" ht="116" x14ac:dyDescent="0.35">
      <c r="A19" s="17" t="s">
        <v>46</v>
      </c>
      <c r="B19" s="17"/>
      <c r="C19" s="17" t="s">
        <v>130</v>
      </c>
      <c r="D19" s="17" t="s">
        <v>131</v>
      </c>
      <c r="E19" s="17" t="s">
        <v>238</v>
      </c>
      <c r="F19" s="36" t="s">
        <v>225</v>
      </c>
      <c r="G19" s="17" t="s">
        <v>233</v>
      </c>
      <c r="H19" s="17" t="s">
        <v>266</v>
      </c>
      <c r="I19" s="30" t="s">
        <v>197</v>
      </c>
      <c r="J19" s="30"/>
      <c r="K19" s="17" t="s">
        <v>239</v>
      </c>
      <c r="L19" s="17" t="s">
        <v>267</v>
      </c>
      <c r="M19" s="17" t="s">
        <v>240</v>
      </c>
      <c r="O19" s="17"/>
      <c r="P19" s="17" t="s">
        <v>254</v>
      </c>
      <c r="Q19" s="17" t="s">
        <v>255</v>
      </c>
      <c r="R19" s="17" t="s">
        <v>329</v>
      </c>
      <c r="S19" s="17" t="s">
        <v>256</v>
      </c>
      <c r="T19" s="36" t="s">
        <v>257</v>
      </c>
      <c r="U19" s="17" t="s">
        <v>258</v>
      </c>
      <c r="V19" s="17" t="s">
        <v>270</v>
      </c>
      <c r="W19" s="30" t="s">
        <v>197</v>
      </c>
      <c r="X19" s="30"/>
      <c r="Y19" s="17" t="s">
        <v>263</v>
      </c>
      <c r="Z19" s="17" t="s">
        <v>269</v>
      </c>
      <c r="AA19" s="17" t="s">
        <v>240</v>
      </c>
      <c r="AC19" s="17" t="s">
        <v>262</v>
      </c>
      <c r="AD19" s="17" t="s">
        <v>268</v>
      </c>
      <c r="AE19" s="17" t="s">
        <v>197</v>
      </c>
    </row>
    <row r="20" spans="1:31" s="7" customFormat="1" x14ac:dyDescent="0.35">
      <c r="A20" s="17" t="s">
        <v>48</v>
      </c>
      <c r="B20" s="17" t="s">
        <v>113</v>
      </c>
      <c r="C20" s="6">
        <f>'input data'!B$48</f>
        <v>12600</v>
      </c>
      <c r="D20" s="27">
        <f>$H7*'input data'!$B$58</f>
        <v>35497.962034129632</v>
      </c>
      <c r="E20" s="27">
        <f>$E7*'input data'!$B$58</f>
        <v>62400.329464999995</v>
      </c>
      <c r="F20" s="31">
        <f>C20-3*'input data'!B50</f>
        <v>11460</v>
      </c>
      <c r="G20" s="6">
        <f>F20+D22</f>
        <v>51425.643730605021</v>
      </c>
      <c r="H20" s="63">
        <f>E22-G20</f>
        <v>16490.781144024761</v>
      </c>
      <c r="I20" s="32">
        <f>F20/I9</f>
        <v>6.1500964539858058</v>
      </c>
      <c r="J20" s="32"/>
      <c r="K20" s="29">
        <f t="shared" ref="K20:K25" si="3">C20+D20</f>
        <v>48097.962034129632</v>
      </c>
      <c r="L20" s="29">
        <f>E20-K20</f>
        <v>14302.367430870363</v>
      </c>
      <c r="M20" s="28">
        <f t="shared" ref="M20:M25" si="4">C20/I7</f>
        <v>7.0254040089841023</v>
      </c>
      <c r="N20" s="29"/>
      <c r="P20" s="24">
        <f>C20*'input data'!$B10/1000000</f>
        <v>834.75000000000034</v>
      </c>
      <c r="Q20" s="27">
        <f>$P7*'input data'!$B$58</f>
        <v>2351.7399847610895</v>
      </c>
      <c r="R20" s="27">
        <f>E9*'input data'!B10*'input data'!B58/1000000</f>
        <v>4499.4631479442241</v>
      </c>
      <c r="S20" s="27">
        <f>$M7*'input data'!$B$58</f>
        <v>4134.0218270562509</v>
      </c>
      <c r="T20" s="31">
        <f>P20-'input data'!B$50*3*'input data'!B10/1000000</f>
        <v>759.22500000000036</v>
      </c>
      <c r="U20" s="6">
        <f t="shared" ref="U20:U25" si="5">T20+Q20</f>
        <v>3110.9649847610899</v>
      </c>
      <c r="V20" s="63">
        <f>R20-U20</f>
        <v>1388.4981631831342</v>
      </c>
      <c r="W20" s="32">
        <f>T20/(I9*'input data'!B10/1000000)</f>
        <v>6.1500964539858058</v>
      </c>
      <c r="X20" s="32"/>
      <c r="Y20" s="29">
        <f t="shared" ref="Y20:Y25" si="6">P20+Q20</f>
        <v>3186.48998476109</v>
      </c>
      <c r="Z20" s="64">
        <f t="shared" ref="Z20:Z25" si="7">S20-Y20</f>
        <v>947.53184229516091</v>
      </c>
      <c r="AA20" s="28">
        <f t="shared" ref="AA20:AA25" si="8">P20/Q7</f>
        <v>7.0254040089841023</v>
      </c>
      <c r="AC20" s="29">
        <f>U20*'input data'!B51+Y20*(1-'input data'!B51)</f>
        <v>3148.7274847610897</v>
      </c>
      <c r="AD20" s="29">
        <f>V20*'input data'!B51+Z20*(1-'input data'!B51)</f>
        <v>1168.0150027391476</v>
      </c>
      <c r="AE20" s="65">
        <f>(W20+AA20)/2</f>
        <v>6.5877502314849536</v>
      </c>
    </row>
    <row r="21" spans="1:31" s="7" customFormat="1" x14ac:dyDescent="0.35">
      <c r="A21" s="17"/>
      <c r="B21" s="17" t="s">
        <v>114</v>
      </c>
      <c r="C21" s="6">
        <f>'input data'!B$47</f>
        <v>15600</v>
      </c>
      <c r="D21" s="27">
        <f>$H8*'input data'!$B$57</f>
        <v>28178.914831660572</v>
      </c>
      <c r="E21" s="27">
        <f>$E8*'input data'!$B$57</f>
        <v>68320.364923186964</v>
      </c>
      <c r="F21" s="31">
        <f>C21-'input data'!B$49</f>
        <v>8600</v>
      </c>
      <c r="G21" s="6">
        <f t="shared" ref="G21:G25" si="9">F21+D21</f>
        <v>36778.914831660572</v>
      </c>
      <c r="H21" s="63">
        <f t="shared" ref="H21:H25" si="10">E21-G21</f>
        <v>31541.450091526392</v>
      </c>
      <c r="I21" s="32">
        <f t="shared" ref="I21:I25" si="11">F21/I8</f>
        <v>3.2136357731439076</v>
      </c>
      <c r="J21" s="32"/>
      <c r="K21" s="29">
        <f t="shared" si="3"/>
        <v>43778.914831660572</v>
      </c>
      <c r="L21" s="29">
        <f t="shared" ref="L21:L25" si="12">E21-K21</f>
        <v>24541.450091526392</v>
      </c>
      <c r="M21" s="28">
        <f t="shared" si="4"/>
        <v>5.8293858210517389</v>
      </c>
      <c r="N21" s="29"/>
      <c r="P21" s="24">
        <f>C21*'input data'!$B11/1000000</f>
        <v>3353.9999999999995</v>
      </c>
      <c r="Q21" s="27">
        <f>$P8*'input data'!$B$57</f>
        <v>6058.4666888070215</v>
      </c>
      <c r="R21" s="27">
        <f>$M8*'input data'!$B$57</f>
        <v>14688.878458485196</v>
      </c>
      <c r="S21" s="27">
        <f>$M8*'input data'!$B$57</f>
        <v>14688.878458485196</v>
      </c>
      <c r="T21" s="31">
        <f>P21-'input data'!B$49*'input data'!B11/1000000</f>
        <v>1848.9999999999998</v>
      </c>
      <c r="U21" s="6">
        <f t="shared" si="5"/>
        <v>7907.4666888070215</v>
      </c>
      <c r="V21" s="63">
        <f t="shared" ref="V21:V25" si="13">R21-U21</f>
        <v>6781.411769678175</v>
      </c>
      <c r="W21" s="32">
        <f>T21/Q8</f>
        <v>3.2136357731439076</v>
      </c>
      <c r="X21" s="32"/>
      <c r="Y21" s="29">
        <f t="shared" si="6"/>
        <v>9412.4666888070205</v>
      </c>
      <c r="Z21" s="64">
        <f t="shared" si="7"/>
        <v>5276.4117696781759</v>
      </c>
      <c r="AA21" s="28">
        <f t="shared" si="8"/>
        <v>5.8293858210517397</v>
      </c>
      <c r="AC21" s="29">
        <f>U21*'input data'!B52+Y21*(1-'input data'!B52)</f>
        <v>7907.4666888070215</v>
      </c>
      <c r="AD21" s="29">
        <f>V21*'input data'!B52+Z21*(1-'input data'!B52)</f>
        <v>6781.411769678175</v>
      </c>
      <c r="AE21" s="28">
        <f>W21</f>
        <v>3.2136357731439076</v>
      </c>
    </row>
    <row r="22" spans="1:31" x14ac:dyDescent="0.35">
      <c r="B22" s="2" t="s">
        <v>129</v>
      </c>
      <c r="C22" s="6">
        <f>'input data'!B$48</f>
        <v>12600</v>
      </c>
      <c r="D22" s="27">
        <f>$H9*'input data'!$B$58</f>
        <v>39965.643730605021</v>
      </c>
      <c r="E22" s="27">
        <f>$E9*'input data'!$B$58</f>
        <v>67916.424874629782</v>
      </c>
      <c r="F22" s="31">
        <f>C22-3*'input data'!B$50</f>
        <v>11460</v>
      </c>
      <c r="G22" s="6">
        <f t="shared" si="9"/>
        <v>51425.643730605021</v>
      </c>
      <c r="H22" s="63">
        <f t="shared" si="10"/>
        <v>16490.781144024761</v>
      </c>
      <c r="I22" s="32">
        <f t="shared" si="11"/>
        <v>6.1500964539858058</v>
      </c>
      <c r="J22" s="32"/>
      <c r="K22" s="29">
        <f t="shared" si="3"/>
        <v>52565.643730605021</v>
      </c>
      <c r="L22" s="29">
        <f t="shared" si="12"/>
        <v>15350.781144024761</v>
      </c>
      <c r="M22" s="28">
        <f t="shared" si="4"/>
        <v>6.7618861535969588</v>
      </c>
      <c r="N22" s="29"/>
      <c r="O22" s="7"/>
      <c r="P22" s="24">
        <f>C22*'input data'!$B12/1000000</f>
        <v>393.75</v>
      </c>
      <c r="Q22" s="27">
        <f>$P9*'input data'!$B$58</f>
        <v>1248.9263665814069</v>
      </c>
      <c r="R22" s="27">
        <f>$M9*'input data'!$B$58</f>
        <v>2122.3882773321807</v>
      </c>
      <c r="S22" s="27">
        <f>$M9*'input data'!$B$58</f>
        <v>2122.3882773321807</v>
      </c>
      <c r="T22" s="31">
        <f>P22-'input data'!B$50*3*'input data'!B12/1000000</f>
        <v>358.125</v>
      </c>
      <c r="U22" s="6">
        <f t="shared" si="5"/>
        <v>1607.0513665814069</v>
      </c>
      <c r="V22" s="63">
        <f t="shared" si="13"/>
        <v>515.33691075077377</v>
      </c>
      <c r="W22" s="32">
        <f>T22/Q9</f>
        <v>6.1500964539858058</v>
      </c>
      <c r="X22" s="32"/>
      <c r="Y22" s="29">
        <f t="shared" si="6"/>
        <v>1642.6763665814069</v>
      </c>
      <c r="Z22" s="64">
        <f t="shared" si="7"/>
        <v>479.71191075077377</v>
      </c>
      <c r="AA22" s="28">
        <f t="shared" si="8"/>
        <v>6.7618861535969588</v>
      </c>
      <c r="AC22" s="29">
        <f>U22*'input data'!B53+Y22*(1-'input data'!B53)</f>
        <v>1624.8638665814069</v>
      </c>
      <c r="AD22" s="29">
        <f>V22*'input data'!B53+Z22*(1-'input data'!B53)</f>
        <v>497.52441075077377</v>
      </c>
      <c r="AE22" s="56">
        <f>(W22+AA22)/2</f>
        <v>6.4559913037913823</v>
      </c>
    </row>
    <row r="23" spans="1:31" x14ac:dyDescent="0.35">
      <c r="A23" s="2" t="s">
        <v>47</v>
      </c>
      <c r="B23" s="2" t="s">
        <v>113</v>
      </c>
      <c r="C23" s="6">
        <f>'input data'!B$48</f>
        <v>12600</v>
      </c>
      <c r="D23" s="27">
        <f>$H10*'input data'!$B$58</f>
        <v>23094.933584913586</v>
      </c>
      <c r="E23" s="27">
        <f>$E10*'input data'!$B$58</f>
        <v>40222.72892666667</v>
      </c>
      <c r="F23" s="31">
        <f>C23-2*'input data'!B$50</f>
        <v>11840</v>
      </c>
      <c r="G23" s="6">
        <f>F23+D25</f>
        <v>37821.743296482302</v>
      </c>
      <c r="H23" s="63">
        <f>E25-G23</f>
        <v>6178.3825699375593</v>
      </c>
      <c r="I23" s="32">
        <f>F23/I12</f>
        <v>9.8566005750323811</v>
      </c>
      <c r="J23" s="32"/>
      <c r="K23" s="29">
        <f t="shared" si="3"/>
        <v>35694.933584913582</v>
      </c>
      <c r="L23" s="29">
        <f t="shared" si="12"/>
        <v>4527.795341753088</v>
      </c>
      <c r="M23" s="28">
        <f t="shared" si="4"/>
        <v>11.034695139033301</v>
      </c>
      <c r="N23" s="29"/>
      <c r="O23" s="7"/>
      <c r="P23" s="24">
        <f>C23*'input data'!$B13/1000000</f>
        <v>367.29000000000019</v>
      </c>
      <c r="Q23" s="27">
        <f>$P10*'input data'!$B$58</f>
        <v>673.21731400023134</v>
      </c>
      <c r="R23" s="27">
        <f>E12*'input data'!B13*'input data'!B58/1000000</f>
        <v>1282.6036690061396</v>
      </c>
      <c r="S23" s="27">
        <f>$M10*'input data'!$B$58</f>
        <v>1172.492548212334</v>
      </c>
      <c r="T23" s="31">
        <f>P23-'input data'!B$50*2*'input data'!B13/1000000</f>
        <v>345.13600000000019</v>
      </c>
      <c r="U23" s="6">
        <f t="shared" si="5"/>
        <v>1018.3533140002315</v>
      </c>
      <c r="V23" s="63">
        <f t="shared" si="13"/>
        <v>264.25035500590809</v>
      </c>
      <c r="W23" s="32">
        <f>T23/(I12*'input data'!B13/1000000)</f>
        <v>9.8566005750323811</v>
      </c>
      <c r="X23" s="32"/>
      <c r="Y23" s="29">
        <f t="shared" si="6"/>
        <v>1040.5073140002314</v>
      </c>
      <c r="Z23" s="64">
        <f t="shared" si="7"/>
        <v>131.98523421210257</v>
      </c>
      <c r="AA23" s="28">
        <f t="shared" si="8"/>
        <v>11.034695139033301</v>
      </c>
      <c r="AC23" s="29">
        <f>U23*'input data'!B51+Y23*(1-'input data'!B51)</f>
        <v>1029.4303140002314</v>
      </c>
      <c r="AD23" s="29">
        <f>V23*'input data'!B51+Z23*(1-'input data'!B51)</f>
        <v>198.11779460900533</v>
      </c>
      <c r="AE23" s="56">
        <f t="shared" ref="AE23:AE25" si="14">(W23+AA23)/2</f>
        <v>10.445647857032842</v>
      </c>
    </row>
    <row r="24" spans="1:31" x14ac:dyDescent="0.35">
      <c r="B24" s="2" t="s">
        <v>114</v>
      </c>
      <c r="C24" s="6">
        <f>'input data'!B$47</f>
        <v>15600</v>
      </c>
      <c r="D24" s="27">
        <f>$H11*'input data'!$B$57</f>
        <v>18384.116721445254</v>
      </c>
      <c r="E24" s="27">
        <f>$E11*'input data'!$B$57</f>
        <v>44154.136453495172</v>
      </c>
      <c r="F24" s="31">
        <f>C24-'input data'!B$49</f>
        <v>8600</v>
      </c>
      <c r="G24" s="6">
        <f t="shared" si="9"/>
        <v>26984.116721445254</v>
      </c>
      <c r="H24" s="63">
        <f t="shared" si="10"/>
        <v>17170.019732049917</v>
      </c>
      <c r="I24" s="32">
        <f t="shared" si="11"/>
        <v>5.0058168888230989</v>
      </c>
      <c r="J24" s="32"/>
      <c r="K24" s="29">
        <f t="shared" si="3"/>
        <v>33984.116721445258</v>
      </c>
      <c r="L24" s="29">
        <f t="shared" si="12"/>
        <v>10170.019732049914</v>
      </c>
      <c r="M24" s="28">
        <f t="shared" si="4"/>
        <v>9.0803190076325979</v>
      </c>
      <c r="N24" s="29"/>
      <c r="O24" s="7"/>
      <c r="P24" s="24">
        <f>C24*'input data'!$B14/1000000</f>
        <v>1475.7599999999998</v>
      </c>
      <c r="Q24" s="27">
        <f>$P11*'input data'!$B$57</f>
        <v>1739.137441848721</v>
      </c>
      <c r="R24" s="27">
        <f>$M11*'input data'!$B$57</f>
        <v>4176.9813085006426</v>
      </c>
      <c r="S24" s="27">
        <f>$M11*'input data'!$B$57</f>
        <v>4176.9813085006426</v>
      </c>
      <c r="T24" s="31">
        <f>P24-'input data'!B$49*'input data'!B14/1000000</f>
        <v>813.55999999999983</v>
      </c>
      <c r="U24" s="6">
        <f t="shared" si="5"/>
        <v>2552.6974418487207</v>
      </c>
      <c r="V24" s="63">
        <f t="shared" si="13"/>
        <v>1624.2838666519219</v>
      </c>
      <c r="W24" s="32">
        <f>T24/Q11</f>
        <v>5.0058168888230989</v>
      </c>
      <c r="X24" s="32"/>
      <c r="Y24" s="29">
        <f t="shared" si="6"/>
        <v>3214.8974418487205</v>
      </c>
      <c r="Z24" s="64">
        <f t="shared" si="7"/>
        <v>962.08386665192211</v>
      </c>
      <c r="AA24" s="28">
        <f t="shared" si="8"/>
        <v>9.0803190076325997</v>
      </c>
      <c r="AC24" s="29">
        <f>U24*'input data'!B52+Y24*(1-'input data'!B52)</f>
        <v>2552.6974418487207</v>
      </c>
      <c r="AD24" s="29">
        <f>V24*'input data'!B52+Z24*(1-'input data'!B52)</f>
        <v>1624.2838666519219</v>
      </c>
      <c r="AE24" s="56">
        <f>W24</f>
        <v>5.0058168888230989</v>
      </c>
    </row>
    <row r="25" spans="1:31" x14ac:dyDescent="0.35">
      <c r="B25" s="2" t="s">
        <v>129</v>
      </c>
      <c r="C25" s="6">
        <f>'input data'!B$48</f>
        <v>12600</v>
      </c>
      <c r="D25" s="27">
        <f>$H12*'input data'!$B$58</f>
        <v>25981.743296482302</v>
      </c>
      <c r="E25" s="27">
        <f>$E12*'input data'!$B$58</f>
        <v>44000.125866419861</v>
      </c>
      <c r="F25" s="31">
        <f>C25-2*'input data'!B$50</f>
        <v>11840</v>
      </c>
      <c r="G25" s="6">
        <f t="shared" si="9"/>
        <v>37821.743296482302</v>
      </c>
      <c r="H25" s="63">
        <f t="shared" si="10"/>
        <v>6178.3825699375593</v>
      </c>
      <c r="I25" s="32">
        <f t="shared" si="11"/>
        <v>9.8566005750323811</v>
      </c>
      <c r="J25" s="32"/>
      <c r="K25" s="29">
        <f t="shared" si="3"/>
        <v>38581.743296482302</v>
      </c>
      <c r="L25" s="29">
        <f t="shared" si="12"/>
        <v>5418.3825699375593</v>
      </c>
      <c r="M25" s="28">
        <f t="shared" si="4"/>
        <v>10.489287774105405</v>
      </c>
      <c r="N25" s="29"/>
      <c r="O25" s="7"/>
      <c r="P25" s="24">
        <f>C25*'input data'!$B15/1000000</f>
        <v>173.25</v>
      </c>
      <c r="Q25" s="27">
        <f>$P12*'input data'!$B$58</f>
        <v>357.24897032663165</v>
      </c>
      <c r="R25" s="27">
        <f>$M12*'input data'!$B$58</f>
        <v>605.00173066327307</v>
      </c>
      <c r="S25" s="27">
        <f>$M12*'input data'!$B$58</f>
        <v>605.00173066327307</v>
      </c>
      <c r="T25" s="31">
        <f>P25-'input data'!B$50*2*'input data'!B15/1000000</f>
        <v>162.80000000000001</v>
      </c>
      <c r="U25" s="6">
        <f t="shared" si="5"/>
        <v>520.04897032663166</v>
      </c>
      <c r="V25" s="63">
        <f t="shared" si="13"/>
        <v>84.952760336641404</v>
      </c>
      <c r="W25" s="32">
        <f>T25/Q12</f>
        <v>9.8566005750323811</v>
      </c>
      <c r="X25" s="32"/>
      <c r="Y25" s="29">
        <f t="shared" si="6"/>
        <v>530.49897032663171</v>
      </c>
      <c r="Z25" s="64">
        <f t="shared" si="7"/>
        <v>74.502760336641359</v>
      </c>
      <c r="AA25" s="28">
        <f t="shared" si="8"/>
        <v>10.489287774105405</v>
      </c>
      <c r="AC25" s="29">
        <f>U25*'input data'!B53+Y25*(1-'input data'!B53)</f>
        <v>525.27397032663168</v>
      </c>
      <c r="AD25" s="29">
        <f>V25*'input data'!B53+Z25*(1-'input data'!B53)</f>
        <v>79.727760336641381</v>
      </c>
      <c r="AE25" s="56">
        <f t="shared" si="14"/>
        <v>10.172944174568894</v>
      </c>
    </row>
    <row r="26" spans="1:31" x14ac:dyDescent="0.35">
      <c r="C26" s="6"/>
      <c r="D26" s="6"/>
      <c r="E26" s="6"/>
      <c r="F26" s="6"/>
      <c r="G26" s="31"/>
      <c r="H26" s="6"/>
      <c r="I26" s="31"/>
      <c r="N26" s="7"/>
      <c r="O26" s="59"/>
    </row>
    <row r="27" spans="1:31" x14ac:dyDescent="0.35">
      <c r="A27" s="2" t="s">
        <v>57</v>
      </c>
      <c r="C27" s="6"/>
      <c r="D27" s="6"/>
      <c r="E27" s="6"/>
      <c r="F27" s="6"/>
      <c r="G27" s="31"/>
      <c r="H27" s="6"/>
      <c r="I27" s="6"/>
      <c r="N27" s="29"/>
      <c r="O27" s="29"/>
      <c r="P27" s="62">
        <f t="shared" ref="P27:V27" si="15">SUM(P20:P25)</f>
        <v>6598.7999999999993</v>
      </c>
      <c r="Q27" s="62">
        <f t="shared" si="15"/>
        <v>12428.736766325101</v>
      </c>
      <c r="R27" s="62">
        <f t="shared" ref="R27" si="16">SUM(R20:R25)</f>
        <v>27375.31659193166</v>
      </c>
      <c r="S27" s="62">
        <f t="shared" si="15"/>
        <v>26899.764150249877</v>
      </c>
      <c r="T27" s="62">
        <f t="shared" si="15"/>
        <v>4287.8460000000005</v>
      </c>
      <c r="U27" s="62">
        <f t="shared" si="15"/>
        <v>16716.5827663251</v>
      </c>
      <c r="V27" s="62">
        <f t="shared" si="15"/>
        <v>10658.733825606556</v>
      </c>
      <c r="W27" s="68">
        <f>(W20*'input data'!$B10+outputs!W21*'input data'!$B11+outputs!W22*'input data'!$B12+outputs!W23*'input data'!$B13+outputs!W24*'input data'!$B14+outputs!W25*'input data'!$B15)/('input data'!$B6+'input data'!$B7)</f>
        <v>4.8599211952024675</v>
      </c>
      <c r="X27" s="67"/>
      <c r="Y27" s="62">
        <f>SUM(Y20:Y25)</f>
        <v>19027.536766325102</v>
      </c>
      <c r="Z27" s="62">
        <f>SUM(Z20:Z25)</f>
        <v>7872.2273839247764</v>
      </c>
      <c r="AA27" s="68">
        <f>(AA20*'input data'!$B10+outputs!AA21*'input data'!$B11+outputs!AA22*'input data'!$B12+outputs!AA23*'input data'!$B13+outputs!AA24*'input data'!$B14+outputs!AA25*'input data'!$B15)/('input data'!$B6+'input data'!$B7)</f>
        <v>7.2332159060889785</v>
      </c>
      <c r="AC27" s="62">
        <f>SUM(AC20:AC25)</f>
        <v>16788.459766325101</v>
      </c>
      <c r="AD27" s="62">
        <f>SUM(AD20:AD25)</f>
        <v>10349.080604765664</v>
      </c>
      <c r="AE27" s="68">
        <f>(AE20*'input data'!$B10+outputs!AE21*'input data'!$B11+outputs!AE22*'input data'!$B12+outputs!AE23*'input data'!$B13+outputs!AE24*'input data'!$B14+outputs!AE25*'input data'!$B15)/('input data'!$B6+'input data'!$B7)</f>
        <v>4.9934194831573198</v>
      </c>
    </row>
    <row r="28" spans="1:31" x14ac:dyDescent="0.35">
      <c r="C28" s="6"/>
      <c r="D28" s="6"/>
      <c r="E28" s="6"/>
      <c r="F28" s="6"/>
      <c r="G28" s="6"/>
      <c r="H28" s="6"/>
    </row>
    <row r="29" spans="1:31" s="1" customFormat="1" ht="21" x14ac:dyDescent="0.5">
      <c r="A29" s="48" t="s">
        <v>242</v>
      </c>
      <c r="B29" s="19"/>
      <c r="C29" s="16"/>
      <c r="D29" s="16"/>
      <c r="E29" s="16"/>
      <c r="F29" s="16"/>
      <c r="G29" s="16"/>
      <c r="H29" s="16"/>
    </row>
    <row r="30" spans="1:31" s="3" customFormat="1" ht="22.5" customHeight="1" x14ac:dyDescent="0.5">
      <c r="A30" s="23"/>
      <c r="B30" s="42"/>
      <c r="C30" s="120" t="s">
        <v>122</v>
      </c>
      <c r="D30" s="120"/>
      <c r="E30" s="120"/>
      <c r="F30" s="120"/>
      <c r="G30" s="120"/>
      <c r="H30" s="108"/>
      <c r="I30" s="108"/>
      <c r="J30" s="120" t="s">
        <v>264</v>
      </c>
      <c r="K30" s="120"/>
      <c r="L30" s="120"/>
      <c r="M30" s="120"/>
      <c r="N30" s="120"/>
      <c r="O30" s="120"/>
      <c r="P30" s="120"/>
      <c r="Q30" s="120"/>
      <c r="R30" s="120"/>
      <c r="T30" s="108"/>
      <c r="U30" s="108"/>
    </row>
    <row r="31" spans="1:31" s="3" customFormat="1" ht="47" customHeight="1" x14ac:dyDescent="0.5">
      <c r="A31" s="23"/>
      <c r="B31" s="42"/>
      <c r="C31" s="55"/>
      <c r="D31" s="55"/>
      <c r="F31" s="109" t="s">
        <v>201</v>
      </c>
      <c r="G31" s="110" t="s">
        <v>200</v>
      </c>
      <c r="H31" s="42"/>
      <c r="I31" s="55"/>
      <c r="J31" s="119" t="s">
        <v>226</v>
      </c>
      <c r="K31" s="119"/>
      <c r="L31" s="119"/>
      <c r="M31" s="119"/>
      <c r="N31" s="119"/>
      <c r="O31" s="124" t="s">
        <v>202</v>
      </c>
      <c r="P31" s="124"/>
      <c r="Q31" s="124"/>
      <c r="R31" s="124"/>
    </row>
    <row r="32" spans="1:31" s="30" customFormat="1" ht="87" x14ac:dyDescent="0.35">
      <c r="A32" s="17" t="s">
        <v>46</v>
      </c>
      <c r="B32" s="17"/>
      <c r="C32" s="36" t="s">
        <v>130</v>
      </c>
      <c r="D32" s="36" t="s">
        <v>281</v>
      </c>
      <c r="E32" s="36" t="s">
        <v>160</v>
      </c>
      <c r="F32" s="36" t="s">
        <v>251</v>
      </c>
      <c r="G32" s="36" t="s">
        <v>252</v>
      </c>
      <c r="I32" s="36"/>
      <c r="J32" s="30" t="s">
        <v>271</v>
      </c>
      <c r="K32" s="30" t="s">
        <v>272</v>
      </c>
      <c r="L32" s="30" t="s">
        <v>162</v>
      </c>
      <c r="M32" s="30" t="s">
        <v>220</v>
      </c>
      <c r="N32" s="30" t="s">
        <v>107</v>
      </c>
      <c r="O32" s="30" t="s">
        <v>245</v>
      </c>
      <c r="P32" s="30" t="s">
        <v>237</v>
      </c>
      <c r="Q32" s="30" t="s">
        <v>220</v>
      </c>
      <c r="R32" s="30" t="s">
        <v>107</v>
      </c>
    </row>
    <row r="33" spans="1:19" s="3" customFormat="1" x14ac:dyDescent="0.35">
      <c r="A33" s="17" t="s">
        <v>48</v>
      </c>
      <c r="B33" s="17" t="s">
        <v>113</v>
      </c>
      <c r="C33" s="31">
        <f t="shared" ref="C33:C38" si="17">C20</f>
        <v>12600</v>
      </c>
      <c r="D33" s="31">
        <f>C20</f>
        <v>12600</v>
      </c>
      <c r="E33" s="31">
        <f t="shared" ref="E33:E38" si="18">I7</f>
        <v>1793.4911620580242</v>
      </c>
      <c r="F33" s="31">
        <f>-12*PMT('input data'!B$65/12, 180,C33,0)</f>
        <v>966.03841413922385</v>
      </c>
      <c r="G33" s="31">
        <f t="shared" ref="G33:G38" si="19">C33/15</f>
        <v>840</v>
      </c>
      <c r="H33" s="31"/>
      <c r="I33" s="33"/>
      <c r="J33" s="3">
        <f>(C33*(1-'input data'!B51)+D33*'input data'!B51)*'input data'!B10/1000000</f>
        <v>834.75000000000034</v>
      </c>
      <c r="K33" s="37">
        <f>-12*PMT('input data'!B$65/12, 180, J33,0)</f>
        <v>64.000044936723611</v>
      </c>
      <c r="L33" s="39">
        <f>K33/'input data'!B$72/1000</f>
        <v>4.8411531722181253E-4</v>
      </c>
      <c r="M33" s="39">
        <f>'formulas for supporting values'!I91</f>
        <v>8.7093451550199985E-2</v>
      </c>
      <c r="N33" s="38">
        <f>L33/'input data'!B$42</f>
        <v>2.9287270406759577E-3</v>
      </c>
      <c r="O33" s="50">
        <f>K33-J33/15</f>
        <v>8.3500449367235916</v>
      </c>
      <c r="P33" s="51">
        <f>O33/'input data'!B$72/1000</f>
        <v>6.3162215860238974E-5</v>
      </c>
      <c r="Q33" s="51">
        <f>'formulas for supporting values'!Q91</f>
        <v>1.1363026930020751E-2</v>
      </c>
      <c r="R33" s="38">
        <f>P33/'input data'!B$42</f>
        <v>3.8210914416107419E-4</v>
      </c>
      <c r="S33" s="60"/>
    </row>
    <row r="34" spans="1:19" s="3" customFormat="1" x14ac:dyDescent="0.35">
      <c r="A34" s="17"/>
      <c r="B34" s="17" t="s">
        <v>114</v>
      </c>
      <c r="C34" s="31">
        <f t="shared" si="17"/>
        <v>15600</v>
      </c>
      <c r="D34" s="31">
        <f t="shared" ref="D34:D38" si="20">C21</f>
        <v>15600</v>
      </c>
      <c r="E34" s="31">
        <f t="shared" si="18"/>
        <v>2676.0966727684263</v>
      </c>
      <c r="F34" s="31">
        <f>-12*PMT('input data'!B$65/12, 180,C34,0)</f>
        <v>1196.0475603628488</v>
      </c>
      <c r="G34" s="31">
        <f t="shared" si="19"/>
        <v>1040</v>
      </c>
      <c r="H34" s="31"/>
      <c r="I34" s="31"/>
      <c r="J34" s="3">
        <f>(C34*(1-'input data'!B52)+D34*'input data'!B52)*'input data'!B11/1000000</f>
        <v>3353.9999999999995</v>
      </c>
      <c r="K34" s="37">
        <f>-12*PMT('input data'!B$65/12, 180, J34,0)</f>
        <v>257.15022547801243</v>
      </c>
      <c r="L34" s="39">
        <f>K34/'input data'!B$72/1000</f>
        <v>1.945160555809474E-3</v>
      </c>
      <c r="M34" s="39">
        <f>'formulas for supporting values'!I92</f>
        <v>7.3330207825221413E-2</v>
      </c>
      <c r="N34" s="38">
        <f>L34/'input data'!B$42</f>
        <v>1.176753578248237E-2</v>
      </c>
      <c r="O34" s="50">
        <f t="shared" ref="O34:O37" si="21">K34-J34/15</f>
        <v>33.550225478012464</v>
      </c>
      <c r="P34" s="51">
        <f>O34/'input data'!B$72/1000</f>
        <v>2.5378385384275691E-4</v>
      </c>
      <c r="Q34" s="51">
        <f>'formulas for supporting values'!Q92</f>
        <v>9.5673453224175958E-3</v>
      </c>
      <c r="R34" s="38">
        <f>P34/'input data'!B$42</f>
        <v>1.535302868542967E-3</v>
      </c>
      <c r="S34" s="60"/>
    </row>
    <row r="35" spans="1:19" s="3" customFormat="1" x14ac:dyDescent="0.35">
      <c r="A35" s="2"/>
      <c r="B35" s="2" t="s">
        <v>129</v>
      </c>
      <c r="C35" s="31">
        <f t="shared" si="17"/>
        <v>12600</v>
      </c>
      <c r="D35" s="31">
        <f t="shared" si="20"/>
        <v>12600</v>
      </c>
      <c r="E35" s="31">
        <f t="shared" si="18"/>
        <v>1863.3854096016507</v>
      </c>
      <c r="F35" s="31">
        <f>-12*PMT('input data'!B$65/12, 180,C35,0)</f>
        <v>966.03841413922385</v>
      </c>
      <c r="G35" s="31">
        <f t="shared" si="19"/>
        <v>840</v>
      </c>
      <c r="H35" s="31"/>
      <c r="I35" s="31"/>
      <c r="J35" s="3">
        <f>(C35*(1-'input data'!B53)+D35*'input data'!B53)*'input data'!B12/1000000</f>
        <v>393.75</v>
      </c>
      <c r="K35" s="37">
        <f>-12*PMT('input data'!B$65/12, 180, J35,0)</f>
        <v>30.188700441850745</v>
      </c>
      <c r="L35" s="39">
        <f>K35/'input data'!B$72/1000</f>
        <v>2.2835628170840203E-4</v>
      </c>
      <c r="M35" s="39">
        <f>'formulas for supporting values'!I93</f>
        <v>9.034658403852705E-2</v>
      </c>
      <c r="N35" s="38">
        <f>L35/'input data'!B$42</f>
        <v>1.3814750191867718E-3</v>
      </c>
      <c r="O35" s="50">
        <f t="shared" si="21"/>
        <v>3.9387004418507452</v>
      </c>
      <c r="P35" s="51">
        <f>O35/'input data'!B$72/1000</f>
        <v>2.9793498047282494E-5</v>
      </c>
      <c r="Q35" s="51">
        <f>'formulas for supporting values'!Q93</f>
        <v>1.1787461045488994E-2</v>
      </c>
      <c r="R35" s="38">
        <f>P35/'input data'!B$42</f>
        <v>1.802401623401291E-4</v>
      </c>
      <c r="S35" s="60"/>
    </row>
    <row r="36" spans="1:19" s="3" customFormat="1" x14ac:dyDescent="0.35">
      <c r="A36" s="2" t="s">
        <v>47</v>
      </c>
      <c r="B36" s="2" t="s">
        <v>113</v>
      </c>
      <c r="C36" s="31">
        <f t="shared" si="17"/>
        <v>12600</v>
      </c>
      <c r="D36" s="31">
        <f t="shared" si="20"/>
        <v>12600</v>
      </c>
      <c r="E36" s="31">
        <f t="shared" si="18"/>
        <v>1141.853022783539</v>
      </c>
      <c r="F36" s="31">
        <f>-12*PMT('input data'!B$65/12, 180,C36,0)</f>
        <v>966.03841413922385</v>
      </c>
      <c r="G36" s="31">
        <f t="shared" si="19"/>
        <v>840</v>
      </c>
      <c r="H36" s="31"/>
      <c r="I36" s="31"/>
      <c r="J36" s="3">
        <f>(C36*(1-'input data'!B51)+D36*'input data'!B51)*'input data'!B13/1000000</f>
        <v>367.29000000000019</v>
      </c>
      <c r="K36" s="37">
        <f>-12*PMT('input data'!B$65/12, 180, J36,0)</f>
        <v>28.160019772158385</v>
      </c>
      <c r="L36" s="39">
        <f>K36/'input data'!B$72/1000</f>
        <v>2.1301073957759748E-4</v>
      </c>
      <c r="M36" s="39">
        <f>'formulas for supporting values'!I94</f>
        <v>0.13511415600082385</v>
      </c>
      <c r="N36" s="38">
        <f>L36/'input data'!B$42</f>
        <v>1.2886398978974212E-3</v>
      </c>
      <c r="O36" s="50">
        <f t="shared" si="21"/>
        <v>3.6740197721583741</v>
      </c>
      <c r="P36" s="51">
        <f>O36/'input data'!B$72/1000</f>
        <v>2.77913749785051E-5</v>
      </c>
      <c r="Q36" s="51">
        <f>'formulas for supporting values'!Q94</f>
        <v>1.7628257531847227E-2</v>
      </c>
      <c r="R36" s="38">
        <f>P36/'input data'!B$42</f>
        <v>1.6812802343087237E-4</v>
      </c>
      <c r="S36" s="60"/>
    </row>
    <row r="37" spans="1:19" s="3" customFormat="1" x14ac:dyDescent="0.35">
      <c r="A37" s="2"/>
      <c r="B37" s="2" t="s">
        <v>114</v>
      </c>
      <c r="C37" s="31">
        <f t="shared" si="17"/>
        <v>15600</v>
      </c>
      <c r="D37" s="31">
        <f t="shared" si="20"/>
        <v>15600</v>
      </c>
      <c r="E37" s="31">
        <f t="shared" si="18"/>
        <v>1718.0013154699946</v>
      </c>
      <c r="F37" s="31">
        <f>-12*PMT('input data'!B$65/12, 180,C37,0)</f>
        <v>1196.0475603628488</v>
      </c>
      <c r="G37" s="31">
        <f t="shared" si="19"/>
        <v>1040</v>
      </c>
      <c r="H37" s="31"/>
      <c r="I37" s="31"/>
      <c r="J37" s="3">
        <f>(C37*(1-'input data'!B52)+D37*'input data'!B52)*'input data'!B14/1000000</f>
        <v>1475.7599999999998</v>
      </c>
      <c r="K37" s="37">
        <f>-12*PMT('input data'!B$65/12, 180, J37,0)</f>
        <v>113.14609921032546</v>
      </c>
      <c r="L37" s="39">
        <f>K37/'input data'!B$72/1000</f>
        <v>8.5587064455616842E-4</v>
      </c>
      <c r="M37" s="39">
        <f>'formulas for supporting values'!I95</f>
        <v>0.11375441869417266</v>
      </c>
      <c r="N37" s="38">
        <f>L37/'input data'!B$42</f>
        <v>5.1777157442922418E-3</v>
      </c>
      <c r="O37" s="50">
        <f t="shared" si="21"/>
        <v>14.762099210325474</v>
      </c>
      <c r="P37" s="51">
        <f>O37/'input data'!B$72/1000</f>
        <v>1.1166489569081298E-4</v>
      </c>
      <c r="Q37" s="51">
        <f>'formulas for supporting values'!Q95</f>
        <v>1.4841466264380368E-2</v>
      </c>
      <c r="R37" s="38">
        <f>P37/'input data'!B$42</f>
        <v>6.7553326215890512E-4</v>
      </c>
      <c r="S37" s="60"/>
    </row>
    <row r="38" spans="1:19" s="3" customFormat="1" x14ac:dyDescent="0.35">
      <c r="A38" s="2"/>
      <c r="B38" s="2" t="s">
        <v>129</v>
      </c>
      <c r="C38" s="31">
        <f t="shared" si="17"/>
        <v>12600</v>
      </c>
      <c r="D38" s="31">
        <f t="shared" si="20"/>
        <v>12600</v>
      </c>
      <c r="E38" s="31">
        <f t="shared" si="18"/>
        <v>1201.2255046625041</v>
      </c>
      <c r="F38" s="31">
        <f>-12*PMT('input data'!B$65/12, 180,C38,0)</f>
        <v>966.03841413922385</v>
      </c>
      <c r="G38" s="31">
        <f t="shared" si="19"/>
        <v>840</v>
      </c>
      <c r="H38" s="31"/>
      <c r="I38" s="31"/>
      <c r="J38" s="3">
        <f>(C38*(1-'input data'!B53)+D38*'input data'!B53)*'input data'!B15/1000000</f>
        <v>173.25</v>
      </c>
      <c r="K38" s="37">
        <f>-12*PMT('input data'!B$65/12, 180, J38,0)</f>
        <v>13.283028194414328</v>
      </c>
      <c r="L38" s="39">
        <f>K38/'input data'!B$72/1000</f>
        <v>1.004767639516969E-4</v>
      </c>
      <c r="M38" s="39">
        <f>'formulas for supporting values'!I96</f>
        <v>0.13075805662489057</v>
      </c>
      <c r="N38" s="38">
        <f>L38/'input data'!B$42</f>
        <v>6.0784900844217961E-4</v>
      </c>
      <c r="O38" s="50">
        <f>K38-J38/15</f>
        <v>1.7330281944143273</v>
      </c>
      <c r="P38" s="51">
        <f>O38/'input data'!B$72/1000</f>
        <v>1.3109139140804292E-5</v>
      </c>
      <c r="Q38" s="51">
        <f>'formulas for supporting values'!Q96</f>
        <v>1.7059920031868313E-2</v>
      </c>
      <c r="R38" s="38">
        <f>P38/'input data'!B$42</f>
        <v>7.9305671429656774E-5</v>
      </c>
      <c r="S38" s="60"/>
    </row>
    <row r="39" spans="1:19" x14ac:dyDescent="0.35">
      <c r="A39" s="6"/>
      <c r="B39" s="6"/>
      <c r="F39" s="31"/>
      <c r="G39" s="17"/>
      <c r="H39" s="6"/>
      <c r="I39" s="6"/>
      <c r="J39" s="3"/>
      <c r="K39" s="6"/>
      <c r="M39" s="39"/>
      <c r="N39" s="6"/>
      <c r="R39" s="53"/>
    </row>
    <row r="40" spans="1:19" s="2" customFormat="1" x14ac:dyDescent="0.35">
      <c r="A40" s="2" t="s">
        <v>161</v>
      </c>
      <c r="B40" s="25"/>
      <c r="F40" s="49"/>
      <c r="G40" s="17"/>
      <c r="H40" s="40"/>
      <c r="I40" s="25"/>
      <c r="J40" s="26">
        <f t="shared" ref="J40:R40" si="22">SUM(J33:J38)</f>
        <v>6598.7999999999993</v>
      </c>
      <c r="K40" s="26">
        <f t="shared" si="22"/>
        <v>505.92811803348496</v>
      </c>
      <c r="L40" s="52">
        <f t="shared" si="22"/>
        <v>3.8269903028251514E-3</v>
      </c>
      <c r="M40" s="52">
        <f t="shared" si="22"/>
        <v>0.63039687473383565</v>
      </c>
      <c r="N40" s="41">
        <f t="shared" si="22"/>
        <v>2.3151942492976939E-2</v>
      </c>
      <c r="O40" s="26">
        <f t="shared" si="22"/>
        <v>66.008118033484976</v>
      </c>
      <c r="P40" s="52">
        <f t="shared" si="22"/>
        <v>4.9930497756040079E-4</v>
      </c>
      <c r="Q40" s="52">
        <f t="shared" si="22"/>
        <v>8.2247477126023233E-2</v>
      </c>
      <c r="R40" s="41">
        <f t="shared" si="22"/>
        <v>3.0206191320636044E-3</v>
      </c>
      <c r="S40" s="58"/>
    </row>
    <row r="41" spans="1:19" x14ac:dyDescent="0.35">
      <c r="A41" s="17"/>
      <c r="B41" s="17"/>
      <c r="C41" s="6"/>
      <c r="D41" s="6"/>
      <c r="E41" s="6"/>
      <c r="F41" s="6"/>
    </row>
    <row r="42" spans="1:19" s="1" customFormat="1" ht="21" x14ac:dyDescent="0.5">
      <c r="A42" s="19" t="s">
        <v>85</v>
      </c>
      <c r="B42" s="19"/>
    </row>
    <row r="43" spans="1:19" s="3" customFormat="1" ht="21" x14ac:dyDescent="0.5">
      <c r="A43" s="23"/>
      <c r="B43" s="23"/>
      <c r="C43" s="120" t="s">
        <v>122</v>
      </c>
      <c r="D43" s="120"/>
      <c r="E43" s="120"/>
      <c r="F43" s="120"/>
      <c r="G43" s="120"/>
      <c r="H43" s="120"/>
      <c r="I43" s="120"/>
      <c r="K43" s="120" t="s">
        <v>123</v>
      </c>
      <c r="L43" s="120"/>
      <c r="M43" s="120"/>
      <c r="N43" s="120"/>
      <c r="O43" s="120"/>
      <c r="P43" s="120"/>
      <c r="Q43" s="120"/>
    </row>
    <row r="44" spans="1:19" s="17" customFormat="1" ht="58" x14ac:dyDescent="0.35">
      <c r="A44" s="17" t="s">
        <v>46</v>
      </c>
      <c r="C44" s="17" t="s">
        <v>133</v>
      </c>
      <c r="D44" s="30" t="s">
        <v>134</v>
      </c>
      <c r="E44" s="17" t="s">
        <v>135</v>
      </c>
      <c r="F44" s="17" t="s">
        <v>136</v>
      </c>
      <c r="G44" s="17" t="s">
        <v>137</v>
      </c>
      <c r="H44" s="17" t="s">
        <v>138</v>
      </c>
      <c r="I44" s="17" t="s">
        <v>139</v>
      </c>
      <c r="K44" s="17" t="s">
        <v>147</v>
      </c>
      <c r="L44" s="30" t="s">
        <v>148</v>
      </c>
      <c r="M44" s="17" t="s">
        <v>149</v>
      </c>
      <c r="N44" s="17" t="s">
        <v>150</v>
      </c>
      <c r="O44" s="17" t="s">
        <v>151</v>
      </c>
      <c r="P44" s="17" t="s">
        <v>152</v>
      </c>
      <c r="Q44" s="17" t="s">
        <v>153</v>
      </c>
    </row>
    <row r="45" spans="1:19" x14ac:dyDescent="0.35">
      <c r="A45" s="2" t="s">
        <v>48</v>
      </c>
      <c r="B45" s="17" t="s">
        <v>113</v>
      </c>
      <c r="C45" s="6">
        <f>'input data'!B18/'input data'!B$31/'input data'!B$69</f>
        <v>25166.666666666664</v>
      </c>
      <c r="D45" s="27">
        <v>0</v>
      </c>
      <c r="E45" s="6">
        <f>C45+D45</f>
        <v>25166.666666666664</v>
      </c>
      <c r="F45" s="6">
        <f>(C45*'input data'!B$31/'input data'!B$36)*'input data'!B$23 + (1-'input data'!B$23)*C45</f>
        <v>14074.691358024691</v>
      </c>
      <c r="G45" s="6">
        <v>0</v>
      </c>
      <c r="H45" s="6">
        <f>F45+G45</f>
        <v>14074.691358024691</v>
      </c>
      <c r="I45" s="6">
        <f>E45-H45</f>
        <v>11091.975308641973</v>
      </c>
      <c r="K45" s="24">
        <f>C45*'input data'!$B10/1000000</f>
        <v>1667.2916666666672</v>
      </c>
      <c r="L45" s="24">
        <f>D45*'input data'!$B10/1000000</f>
        <v>0</v>
      </c>
      <c r="M45" s="24">
        <f>E45*'input data'!$B10/1000000</f>
        <v>1667.2916666666672</v>
      </c>
      <c r="N45" s="24">
        <f>F45*'input data'!$B10/1000000</f>
        <v>932.44830246913625</v>
      </c>
      <c r="O45" s="24">
        <f>G45*'input data'!$B10/1000000</f>
        <v>0</v>
      </c>
      <c r="P45" s="24">
        <f>H45*'input data'!$B10/1000000</f>
        <v>932.44830246913625</v>
      </c>
      <c r="Q45" s="24">
        <f>I45*'input data'!$B10/1000000</f>
        <v>734.84336419753106</v>
      </c>
    </row>
    <row r="46" spans="1:19" x14ac:dyDescent="0.35">
      <c r="B46" s="17" t="s">
        <v>114</v>
      </c>
      <c r="C46" s="6">
        <f>'input data'!B18/'input data'!B$31/'input data'!B$69</f>
        <v>25166.666666666664</v>
      </c>
      <c r="D46" s="6">
        <f>'input data'!B26/'input data'!B$33/'input data'!B$69</f>
        <v>2266.6155810983391</v>
      </c>
      <c r="E46" s="6">
        <f t="shared" ref="E46:E50" si="23">C46+D46</f>
        <v>27433.282247765004</v>
      </c>
      <c r="F46" s="6">
        <f>(C46*'input data'!B$31/'input data'!B$36)*'input data'!B$22 + (1-'input data'!B$22)*C46</f>
        <v>9320.9876543209866</v>
      </c>
      <c r="G46" s="6">
        <f>'input data'!B$26/'input data'!B$38/'input data'!B$69</f>
        <v>1801.8599740090963</v>
      </c>
      <c r="H46" s="6">
        <f t="shared" ref="H46:H50" si="24">F46+G46</f>
        <v>11122.847628330082</v>
      </c>
      <c r="I46" s="6">
        <f t="shared" ref="I46:I50" si="25">E46-H46</f>
        <v>16310.434619434922</v>
      </c>
      <c r="K46" s="24">
        <f>C46*'input data'!$B11/1000000</f>
        <v>5410.8333333333321</v>
      </c>
      <c r="L46" s="24">
        <f>D46*'input data'!$B11/1000000</f>
        <v>487.32234993614287</v>
      </c>
      <c r="M46" s="24">
        <f>E46*'input data'!$B11/1000000</f>
        <v>5898.155683269475</v>
      </c>
      <c r="N46" s="24">
        <f>F46*'input data'!$B11/1000000</f>
        <v>2004.0123456790118</v>
      </c>
      <c r="O46" s="24">
        <f>G46*'input data'!$B11/1000000</f>
        <v>387.39989441195564</v>
      </c>
      <c r="P46" s="24">
        <f>H46*'input data'!$B11/1000000</f>
        <v>2391.4122400909673</v>
      </c>
      <c r="Q46" s="24">
        <f>I46*'input data'!$B11/1000000</f>
        <v>3506.7434431785077</v>
      </c>
    </row>
    <row r="47" spans="1:19" x14ac:dyDescent="0.35">
      <c r="B47" s="2" t="s">
        <v>129</v>
      </c>
      <c r="C47" s="6">
        <f>'input data'!B18/'input data'!B$31/'input data'!B$69</f>
        <v>25166.666666666664</v>
      </c>
      <c r="D47" s="6">
        <f>'input data'!B$28/'input data'!B$35/'input data'!B$69*2</f>
        <v>1402.4683908045974</v>
      </c>
      <c r="E47" s="6">
        <f t="shared" si="23"/>
        <v>26569.135057471263</v>
      </c>
      <c r="F47" s="6">
        <f>(C47*'input data'!B$31/'input data'!B$36)*'input data'!B$23 + (1-'input data'!B$23)*C47</f>
        <v>14074.691358024691</v>
      </c>
      <c r="G47" s="6">
        <f>'input data'!B$26/'input data'!B$38/'input data'!B$69</f>
        <v>1801.8599740090963</v>
      </c>
      <c r="H47" s="6">
        <f t="shared" si="24"/>
        <v>15876.551332033787</v>
      </c>
      <c r="I47" s="6">
        <f t="shared" si="25"/>
        <v>10692.583725437476</v>
      </c>
      <c r="K47" s="24">
        <f>C47*'input data'!$B12/1000000</f>
        <v>786.45833333333326</v>
      </c>
      <c r="L47" s="24">
        <f>D47*'input data'!$B12/1000000</f>
        <v>43.82713721264367</v>
      </c>
      <c r="M47" s="24">
        <f>E47*'input data'!$B12/1000000</f>
        <v>830.28547054597698</v>
      </c>
      <c r="N47" s="24">
        <f>F47*'input data'!$B12/1000000</f>
        <v>439.83410493827159</v>
      </c>
      <c r="O47" s="24">
        <f>G47*'input data'!$B12/1000000</f>
        <v>56.308124187784259</v>
      </c>
      <c r="P47" s="24">
        <f>H47*'input data'!$B12/1000000</f>
        <v>496.14222912605584</v>
      </c>
      <c r="Q47" s="24">
        <f>I47*'input data'!$B12/1000000</f>
        <v>334.14324141992114</v>
      </c>
    </row>
    <row r="48" spans="1:19" x14ac:dyDescent="0.35">
      <c r="A48" s="2" t="s">
        <v>47</v>
      </c>
      <c r="B48" s="2" t="s">
        <v>113</v>
      </c>
      <c r="C48" s="6">
        <f>'input data'!B19/'input data'!B$31/'input data'!B$69</f>
        <v>16222.222222222223</v>
      </c>
      <c r="D48" s="6">
        <v>0</v>
      </c>
      <c r="E48" s="6">
        <f t="shared" si="23"/>
        <v>16222.222222222223</v>
      </c>
      <c r="F48" s="6">
        <f>(C48*'input data'!B$31/'input data'!B$36)*'input data'!B$23 + (1-'input data'!B$23)*C48</f>
        <v>9072.4279835390953</v>
      </c>
      <c r="G48" s="6">
        <v>0</v>
      </c>
      <c r="H48" s="6">
        <f t="shared" si="24"/>
        <v>9072.4279835390953</v>
      </c>
      <c r="I48" s="6">
        <f t="shared" si="25"/>
        <v>7149.7942386831273</v>
      </c>
      <c r="K48" s="24">
        <f>C48*'input data'!$B13/1000000</f>
        <v>472.87777777777802</v>
      </c>
      <c r="L48" s="24">
        <f>D48*'input data'!$B13/1000000</f>
        <v>0</v>
      </c>
      <c r="M48" s="24">
        <f>E48*'input data'!$B13/1000000</f>
        <v>472.87777777777802</v>
      </c>
      <c r="N48" s="24">
        <f>F48*'input data'!$B13/1000000</f>
        <v>264.46127572016474</v>
      </c>
      <c r="O48" s="24">
        <f>G48*'input data'!$B13/1000000</f>
        <v>0</v>
      </c>
      <c r="P48" s="24">
        <f>H48*'input data'!$B13/1000000</f>
        <v>264.46127572016474</v>
      </c>
      <c r="Q48" s="24">
        <f>I48*'input data'!$B13/1000000</f>
        <v>208.41650205761326</v>
      </c>
    </row>
    <row r="49" spans="1:21" x14ac:dyDescent="0.35">
      <c r="B49" s="2" t="s">
        <v>114</v>
      </c>
      <c r="C49" s="6">
        <f>'input data'!B19/'input data'!B$31/'input data'!B$69</f>
        <v>16222.222222222223</v>
      </c>
      <c r="D49" s="6">
        <f>'input data'!B27/'input data'!B$33/'input data'!B$69</f>
        <v>1464.5823754789269</v>
      </c>
      <c r="E49" s="6">
        <f t="shared" si="23"/>
        <v>17686.80459770115</v>
      </c>
      <c r="F49" s="6">
        <f>(C49*'input data'!B$31/'input data'!B$36)*'input data'!B$22 + (1-'input data'!B$22)*C49</f>
        <v>6008.2304526748967</v>
      </c>
      <c r="G49" s="6">
        <f>'input data'!B$27/'input data'!B$38/'input data'!B$69</f>
        <v>1164.278752436647</v>
      </c>
      <c r="H49" s="6">
        <f t="shared" si="24"/>
        <v>7172.5092051115435</v>
      </c>
      <c r="I49" s="6">
        <f t="shared" si="25"/>
        <v>10514.295392589607</v>
      </c>
      <c r="K49" s="24">
        <f>C49*'input data'!$B14/1000000</f>
        <v>1534.622222222222</v>
      </c>
      <c r="L49" s="24">
        <f>D49*'input data'!$B14/1000000</f>
        <v>138.54949272030646</v>
      </c>
      <c r="M49" s="24">
        <f>E49*'input data'!$B14/1000000</f>
        <v>1673.1717149425285</v>
      </c>
      <c r="N49" s="24">
        <f>F49*'input data'!$B14/1000000</f>
        <v>568.37860082304519</v>
      </c>
      <c r="O49" s="24">
        <f>G49*'input data'!$B14/1000000</f>
        <v>110.14076998050679</v>
      </c>
      <c r="P49" s="24">
        <f>H49*'input data'!$B14/1000000</f>
        <v>678.51937080355196</v>
      </c>
      <c r="Q49" s="24">
        <f>I49*'input data'!$B14/1000000</f>
        <v>994.65234413897667</v>
      </c>
    </row>
    <row r="50" spans="1:21" x14ac:dyDescent="0.35">
      <c r="B50" s="2" t="s">
        <v>129</v>
      </c>
      <c r="C50" s="6">
        <f>'input data'!B19/'input data'!B$31/'input data'!B$69</f>
        <v>16222.222222222223</v>
      </c>
      <c r="D50" s="6">
        <f>'input data'!B$28/'input data'!B$35/'input data'!B$69*2</f>
        <v>1402.4683908045974</v>
      </c>
      <c r="E50" s="6">
        <f t="shared" si="23"/>
        <v>17624.690613026822</v>
      </c>
      <c r="F50" s="6">
        <f>(C50*'input data'!B$31/'input data'!B$36)*'input data'!B$23 + (1-'input data'!B$23)*C50</f>
        <v>9072.4279835390953</v>
      </c>
      <c r="G50" s="6">
        <f>'input data'!B$27/'input data'!B$38/'input data'!B$69</f>
        <v>1164.278752436647</v>
      </c>
      <c r="H50" s="6">
        <f t="shared" si="24"/>
        <v>10236.706735975742</v>
      </c>
      <c r="I50" s="6">
        <f t="shared" si="25"/>
        <v>7387.9838770510796</v>
      </c>
      <c r="K50" s="24">
        <f>C50*'input data'!$B15/1000000</f>
        <v>223.05555555555554</v>
      </c>
      <c r="L50" s="24">
        <f>D50*'input data'!$B15/1000000</f>
        <v>19.283940373563215</v>
      </c>
      <c r="M50" s="24">
        <f>E50*'input data'!$B15/1000000</f>
        <v>242.33949592911881</v>
      </c>
      <c r="N50" s="24">
        <f>F50*'input data'!$B15/1000000</f>
        <v>124.74588477366257</v>
      </c>
      <c r="O50" s="24">
        <f>G50*'input data'!$B15/1000000</f>
        <v>16.008832846003894</v>
      </c>
      <c r="P50" s="24">
        <f>H50*'input data'!$B15/1000000</f>
        <v>140.75471761966645</v>
      </c>
      <c r="Q50" s="24">
        <f>I50*'input data'!$B15/1000000</f>
        <v>101.58477830945235</v>
      </c>
    </row>
    <row r="51" spans="1:21" x14ac:dyDescent="0.35">
      <c r="C51" s="6"/>
      <c r="D51" s="31"/>
      <c r="E51" s="6"/>
      <c r="F51" s="6"/>
      <c r="G51" s="6"/>
      <c r="H51" s="6"/>
      <c r="I51" s="6"/>
    </row>
    <row r="52" spans="1:21" x14ac:dyDescent="0.35">
      <c r="A52" s="2" t="s">
        <v>184</v>
      </c>
      <c r="C52" s="5"/>
      <c r="D52" s="33"/>
      <c r="E52" s="5"/>
      <c r="F52" s="5"/>
      <c r="G52" s="5"/>
      <c r="H52" s="5"/>
      <c r="I52" s="5"/>
      <c r="K52" s="26">
        <f t="shared" ref="K52:Q52" si="26">SUM(K45:K50)</f>
        <v>10095.138888888887</v>
      </c>
      <c r="L52" s="26">
        <f t="shared" si="26"/>
        <v>688.98292024265629</v>
      </c>
      <c r="M52" s="26">
        <f t="shared" si="26"/>
        <v>10784.121809131542</v>
      </c>
      <c r="N52" s="26">
        <f t="shared" si="26"/>
        <v>4333.8805144032922</v>
      </c>
      <c r="O52" s="26">
        <f t="shared" si="26"/>
        <v>569.8576214262506</v>
      </c>
      <c r="P52" s="26">
        <f t="shared" si="26"/>
        <v>4903.7381358295434</v>
      </c>
      <c r="Q52" s="26">
        <f t="shared" si="26"/>
        <v>5880.3836733020007</v>
      </c>
    </row>
    <row r="54" spans="1:21" s="1" customFormat="1" ht="21" x14ac:dyDescent="0.5">
      <c r="A54" s="19" t="s">
        <v>88</v>
      </c>
      <c r="B54" s="19"/>
    </row>
    <row r="55" spans="1:21" s="2" customFormat="1" ht="21" x14ac:dyDescent="0.5">
      <c r="A55" s="23"/>
      <c r="B55" s="23"/>
      <c r="C55" s="120" t="s">
        <v>122</v>
      </c>
      <c r="D55" s="120"/>
      <c r="E55" s="120"/>
      <c r="F55" s="120"/>
      <c r="G55" s="120"/>
      <c r="H55" s="120"/>
      <c r="I55" s="120"/>
      <c r="J55" s="120"/>
      <c r="K55" s="120"/>
      <c r="L55" s="3"/>
      <c r="M55" s="120" t="s">
        <v>123</v>
      </c>
      <c r="N55" s="120"/>
      <c r="O55" s="120"/>
      <c r="P55" s="120"/>
      <c r="Q55" s="120"/>
      <c r="R55" s="120"/>
      <c r="S55" s="120"/>
      <c r="T55" s="120"/>
      <c r="U55" s="120"/>
    </row>
    <row r="56" spans="1:21" s="17" customFormat="1" ht="72.5" x14ac:dyDescent="0.35">
      <c r="A56" s="17" t="s">
        <v>46</v>
      </c>
      <c r="C56" s="17" t="s">
        <v>133</v>
      </c>
      <c r="D56" s="17" t="s">
        <v>136</v>
      </c>
      <c r="E56" s="17" t="s">
        <v>206</v>
      </c>
      <c r="F56" s="17" t="s">
        <v>207</v>
      </c>
      <c r="G56" s="30" t="s">
        <v>208</v>
      </c>
      <c r="H56" s="17" t="s">
        <v>137</v>
      </c>
      <c r="I56" s="17" t="s">
        <v>209</v>
      </c>
      <c r="J56" s="17" t="s">
        <v>210</v>
      </c>
      <c r="K56" s="17" t="s">
        <v>211</v>
      </c>
      <c r="M56" s="17" t="s">
        <v>147</v>
      </c>
      <c r="N56" s="17" t="s">
        <v>150</v>
      </c>
      <c r="O56" s="17" t="s">
        <v>212</v>
      </c>
      <c r="P56" s="17" t="s">
        <v>213</v>
      </c>
      <c r="Q56" s="30" t="s">
        <v>214</v>
      </c>
      <c r="R56" s="17" t="s">
        <v>151</v>
      </c>
      <c r="S56" s="17" t="s">
        <v>209</v>
      </c>
      <c r="T56" s="17" t="s">
        <v>215</v>
      </c>
      <c r="U56" s="17" t="s">
        <v>216</v>
      </c>
    </row>
    <row r="57" spans="1:21" x14ac:dyDescent="0.35">
      <c r="A57" s="2" t="s">
        <v>48</v>
      </c>
      <c r="B57" s="17" t="s">
        <v>113</v>
      </c>
      <c r="C57" s="6">
        <f>C45</f>
        <v>25166.666666666664</v>
      </c>
      <c r="D57" s="6">
        <f>F45</f>
        <v>14074.691358024691</v>
      </c>
      <c r="E57" s="6">
        <f>C57-D57</f>
        <v>11091.975308641973</v>
      </c>
      <c r="F57" s="6">
        <f>E57*'input data'!B$61</f>
        <v>4131.7608024691353</v>
      </c>
      <c r="G57" s="31">
        <f>D45</f>
        <v>0</v>
      </c>
      <c r="H57" s="31">
        <f>G45</f>
        <v>0</v>
      </c>
      <c r="I57" s="6">
        <f t="shared" ref="I57:I62" si="27">G57-H57</f>
        <v>0</v>
      </c>
      <c r="J57" s="6">
        <f>I57*'input data'!B$62</f>
        <v>0</v>
      </c>
      <c r="K57" s="6">
        <f>F57+J57</f>
        <v>4131.7608024691353</v>
      </c>
      <c r="M57" s="24">
        <f>C57*'input data'!$B10/1000000</f>
        <v>1667.2916666666672</v>
      </c>
      <c r="N57" s="24">
        <f>D57*'input data'!$B10/1000000</f>
        <v>932.44830246913625</v>
      </c>
      <c r="O57" s="24">
        <f>E57*'input data'!$B10/1000000</f>
        <v>734.84336419753106</v>
      </c>
      <c r="P57" s="24">
        <f>F57*'input data'!$B10/1000000</f>
        <v>273.72915316358035</v>
      </c>
      <c r="Q57" s="24">
        <f>G57*'input data'!$B10/1000000</f>
        <v>0</v>
      </c>
      <c r="R57" s="24">
        <f>H57*'input data'!$B10/1000000</f>
        <v>0</v>
      </c>
      <c r="S57" s="24">
        <f>I57*'input data'!$B10/1000000</f>
        <v>0</v>
      </c>
      <c r="T57" s="24">
        <f>J57*'input data'!$B10/1000000</f>
        <v>0</v>
      </c>
      <c r="U57" s="24">
        <f>K57*'input data'!$B10/1000000</f>
        <v>273.72915316358035</v>
      </c>
    </row>
    <row r="58" spans="1:21" x14ac:dyDescent="0.35">
      <c r="B58" s="17" t="s">
        <v>114</v>
      </c>
      <c r="C58" s="6">
        <f t="shared" ref="C58:C62" si="28">C46</f>
        <v>25166.666666666664</v>
      </c>
      <c r="D58" s="6">
        <f t="shared" ref="D58:D62" si="29">F46</f>
        <v>9320.9876543209866</v>
      </c>
      <c r="E58" s="6">
        <f t="shared" ref="E58:E62" si="30">C58-D58</f>
        <v>15845.679012345678</v>
      </c>
      <c r="F58" s="6">
        <f>E58*'input data'!B$61</f>
        <v>5902.5154320987649</v>
      </c>
      <c r="G58" s="31">
        <f t="shared" ref="G58:G62" si="31">D46</f>
        <v>2266.6155810983391</v>
      </c>
      <c r="H58" s="31">
        <f t="shared" ref="H58:H62" si="32">G46</f>
        <v>1801.8599740090963</v>
      </c>
      <c r="I58" s="6">
        <f t="shared" si="27"/>
        <v>464.75560708924286</v>
      </c>
      <c r="J58" s="6">
        <f>I58*'input data'!B$62</f>
        <v>170.14702775537179</v>
      </c>
      <c r="K58" s="6">
        <f t="shared" ref="K58:K62" si="33">F58+J58</f>
        <v>6072.6624598541366</v>
      </c>
      <c r="M58" s="24">
        <f>C58*'input data'!$B11/1000000</f>
        <v>5410.8333333333321</v>
      </c>
      <c r="N58" s="24">
        <f>D58*'input data'!$B11/1000000</f>
        <v>2004.0123456790118</v>
      </c>
      <c r="O58" s="24">
        <f>E58*'input data'!$B11/1000000</f>
        <v>3406.8209876543201</v>
      </c>
      <c r="P58" s="24">
        <f>F58*'input data'!$B11/1000000</f>
        <v>1269.0408179012343</v>
      </c>
      <c r="Q58" s="24">
        <f>G58*'input data'!$B11/1000000</f>
        <v>487.32234993614287</v>
      </c>
      <c r="R58" s="24">
        <f>H58*'input data'!$B11/1000000</f>
        <v>387.39989441195564</v>
      </c>
      <c r="S58" s="24">
        <f>I58*'input data'!$B11/1000000</f>
        <v>99.922455524187214</v>
      </c>
      <c r="T58" s="24">
        <f>J58*'input data'!$B11/1000000</f>
        <v>36.581610967404934</v>
      </c>
      <c r="U58" s="24">
        <f>K58*'input data'!$B11/1000000</f>
        <v>1305.6224288686392</v>
      </c>
    </row>
    <row r="59" spans="1:21" x14ac:dyDescent="0.35">
      <c r="B59" s="2" t="s">
        <v>129</v>
      </c>
      <c r="C59" s="6">
        <f t="shared" si="28"/>
        <v>25166.666666666664</v>
      </c>
      <c r="D59" s="6">
        <f t="shared" si="29"/>
        <v>14074.691358024691</v>
      </c>
      <c r="E59" s="6">
        <f t="shared" si="30"/>
        <v>11091.975308641973</v>
      </c>
      <c r="F59" s="6">
        <f>E59*'input data'!B$61</f>
        <v>4131.7608024691353</v>
      </c>
      <c r="G59" s="31">
        <f t="shared" si="31"/>
        <v>1402.4683908045974</v>
      </c>
      <c r="H59" s="31">
        <f t="shared" si="32"/>
        <v>1801.8599740090963</v>
      </c>
      <c r="I59" s="6">
        <f t="shared" si="27"/>
        <v>-399.39158320449883</v>
      </c>
      <c r="J59" s="6">
        <f>I59*'input data'!B$62</f>
        <v>-146.21725861116701</v>
      </c>
      <c r="K59" s="6">
        <f t="shared" si="33"/>
        <v>3985.5435438579684</v>
      </c>
      <c r="M59" s="24">
        <f>C59*'input data'!$B12/1000000</f>
        <v>786.45833333333326</v>
      </c>
      <c r="N59" s="24">
        <f>D59*'input data'!$B12/1000000</f>
        <v>439.83410493827159</v>
      </c>
      <c r="O59" s="24">
        <f>E59*'input data'!$B12/1000000</f>
        <v>346.62422839506166</v>
      </c>
      <c r="P59" s="24">
        <f>F59*'input data'!$B12/1000000</f>
        <v>129.11752507716048</v>
      </c>
      <c r="Q59" s="24">
        <f>G59*'input data'!$B12/1000000</f>
        <v>43.82713721264367</v>
      </c>
      <c r="R59" s="24">
        <f>H59*'input data'!$B12/1000000</f>
        <v>56.308124187784259</v>
      </c>
      <c r="S59" s="24">
        <f>I59*'input data'!$B12/1000000</f>
        <v>-12.480986975140588</v>
      </c>
      <c r="T59" s="24">
        <f>J59*'input data'!$B12/1000000</f>
        <v>-4.5692893315989691</v>
      </c>
      <c r="U59" s="24">
        <f>K59*'input data'!$B12/1000000</f>
        <v>124.54823574556151</v>
      </c>
    </row>
    <row r="60" spans="1:21" x14ac:dyDescent="0.35">
      <c r="A60" s="2" t="s">
        <v>47</v>
      </c>
      <c r="B60" s="2" t="s">
        <v>113</v>
      </c>
      <c r="C60" s="6">
        <f t="shared" si="28"/>
        <v>16222.222222222223</v>
      </c>
      <c r="D60" s="6">
        <f t="shared" si="29"/>
        <v>9072.4279835390953</v>
      </c>
      <c r="E60" s="6">
        <f t="shared" si="30"/>
        <v>7149.7942386831273</v>
      </c>
      <c r="F60" s="6">
        <f>E60*'input data'!B$61</f>
        <v>2663.2983539094648</v>
      </c>
      <c r="G60" s="31">
        <f t="shared" si="31"/>
        <v>0</v>
      </c>
      <c r="H60" s="31">
        <f t="shared" si="32"/>
        <v>0</v>
      </c>
      <c r="I60" s="6">
        <f t="shared" si="27"/>
        <v>0</v>
      </c>
      <c r="J60" s="6">
        <f>I60*'input data'!B$62</f>
        <v>0</v>
      </c>
      <c r="K60" s="6">
        <f t="shared" si="33"/>
        <v>2663.2983539094648</v>
      </c>
      <c r="M60" s="24">
        <f>C60*'input data'!$B13/1000000</f>
        <v>472.87777777777802</v>
      </c>
      <c r="N60" s="24">
        <f>D60*'input data'!$B13/1000000</f>
        <v>264.46127572016474</v>
      </c>
      <c r="O60" s="24">
        <f>E60*'input data'!$B13/1000000</f>
        <v>208.41650205761326</v>
      </c>
      <c r="P60" s="24">
        <f>F60*'input data'!$B13/1000000</f>
        <v>77.635147016460934</v>
      </c>
      <c r="Q60" s="24">
        <f>G60*'input data'!$B13/1000000</f>
        <v>0</v>
      </c>
      <c r="R60" s="24">
        <f>H60*'input data'!$B13/1000000</f>
        <v>0</v>
      </c>
      <c r="S60" s="24">
        <f>I60*'input data'!$B13/1000000</f>
        <v>0</v>
      </c>
      <c r="T60" s="24">
        <f>J60*'input data'!$B13/1000000</f>
        <v>0</v>
      </c>
      <c r="U60" s="24">
        <f>K60*'input data'!$B13/1000000</f>
        <v>77.635147016460934</v>
      </c>
    </row>
    <row r="61" spans="1:21" x14ac:dyDescent="0.35">
      <c r="B61" s="2" t="s">
        <v>114</v>
      </c>
      <c r="C61" s="6">
        <f t="shared" si="28"/>
        <v>16222.222222222223</v>
      </c>
      <c r="D61" s="6">
        <f t="shared" si="29"/>
        <v>6008.2304526748967</v>
      </c>
      <c r="E61" s="6">
        <f t="shared" si="30"/>
        <v>10213.991769547327</v>
      </c>
      <c r="F61" s="6">
        <f>E61*'input data'!B$61</f>
        <v>3804.7119341563794</v>
      </c>
      <c r="G61" s="31">
        <f t="shared" si="31"/>
        <v>1464.5823754789269</v>
      </c>
      <c r="H61" s="31">
        <f t="shared" si="32"/>
        <v>1164.278752436647</v>
      </c>
      <c r="I61" s="6">
        <f t="shared" si="27"/>
        <v>300.30362304227992</v>
      </c>
      <c r="J61" s="6">
        <f>I61*'input data'!B$62</f>
        <v>109.94115639577868</v>
      </c>
      <c r="K61" s="6">
        <f t="shared" si="33"/>
        <v>3914.6530905521581</v>
      </c>
      <c r="M61" s="24">
        <f>C61*'input data'!$B14/1000000</f>
        <v>1534.622222222222</v>
      </c>
      <c r="N61" s="24">
        <f>D61*'input data'!$B14/1000000</f>
        <v>568.37860082304519</v>
      </c>
      <c r="O61" s="24">
        <f>E61*'input data'!$B14/1000000</f>
        <v>966.24362139917696</v>
      </c>
      <c r="P61" s="24">
        <f>F61*'input data'!$B14/1000000</f>
        <v>359.92574897119346</v>
      </c>
      <c r="Q61" s="24">
        <f>G61*'input data'!$B14/1000000</f>
        <v>138.54949272030646</v>
      </c>
      <c r="R61" s="24">
        <f>H61*'input data'!$B14/1000000</f>
        <v>110.14076998050679</v>
      </c>
      <c r="S61" s="24">
        <f>I61*'input data'!$B14/1000000</f>
        <v>28.408722739799675</v>
      </c>
      <c r="T61" s="24">
        <f>J61*'input data'!$B14/1000000</f>
        <v>10.400433395040661</v>
      </c>
      <c r="U61" s="24">
        <f>K61*'input data'!$B14/1000000</f>
        <v>370.32618236623415</v>
      </c>
    </row>
    <row r="62" spans="1:21" x14ac:dyDescent="0.35">
      <c r="B62" s="2" t="s">
        <v>129</v>
      </c>
      <c r="C62" s="6">
        <f t="shared" si="28"/>
        <v>16222.222222222223</v>
      </c>
      <c r="D62" s="6">
        <f t="shared" si="29"/>
        <v>9072.4279835390953</v>
      </c>
      <c r="E62" s="6">
        <f t="shared" si="30"/>
        <v>7149.7942386831273</v>
      </c>
      <c r="F62" s="6">
        <f>E62*'input data'!B$61</f>
        <v>2663.2983539094648</v>
      </c>
      <c r="G62" s="31">
        <f t="shared" si="31"/>
        <v>1402.4683908045974</v>
      </c>
      <c r="H62" s="31">
        <f t="shared" si="32"/>
        <v>1164.278752436647</v>
      </c>
      <c r="I62" s="6">
        <f t="shared" si="27"/>
        <v>238.18963836795047</v>
      </c>
      <c r="J62" s="6">
        <f>I62*'input data'!B$62</f>
        <v>87.201226606506665</v>
      </c>
      <c r="K62" s="6">
        <f t="shared" si="33"/>
        <v>2750.4995805159715</v>
      </c>
      <c r="M62" s="24">
        <f>C62*'input data'!$B15/1000000</f>
        <v>223.05555555555554</v>
      </c>
      <c r="N62" s="24">
        <f>D62*'input data'!$B15/1000000</f>
        <v>124.74588477366257</v>
      </c>
      <c r="O62" s="24">
        <f>E62*'input data'!$B15/1000000</f>
        <v>98.309670781893004</v>
      </c>
      <c r="P62" s="24">
        <f>F62*'input data'!$B15/1000000</f>
        <v>36.62035236625514</v>
      </c>
      <c r="Q62" s="24">
        <f>G62*'input data'!$B15/1000000</f>
        <v>19.283940373563215</v>
      </c>
      <c r="R62" s="24">
        <f>H62*'input data'!$B15/1000000</f>
        <v>16.008832846003894</v>
      </c>
      <c r="S62" s="24">
        <f>I62*'input data'!$B15/1000000</f>
        <v>3.2751075275593191</v>
      </c>
      <c r="T62" s="24">
        <f>J62*'input data'!$B15/1000000</f>
        <v>1.1990168658394667</v>
      </c>
      <c r="U62" s="24">
        <f>K62*'input data'!$B15/1000000</f>
        <v>37.819369232094608</v>
      </c>
    </row>
    <row r="63" spans="1:21" x14ac:dyDescent="0.35">
      <c r="G63" s="3"/>
      <c r="T63" s="24"/>
    </row>
    <row r="64" spans="1:21" x14ac:dyDescent="0.35">
      <c r="A64" s="2" t="s">
        <v>273</v>
      </c>
      <c r="C64" s="5"/>
      <c r="D64" s="5"/>
      <c r="E64" s="5"/>
      <c r="F64" s="5"/>
      <c r="G64" s="5"/>
      <c r="H64" s="5"/>
      <c r="I64" s="5"/>
      <c r="J64" s="5"/>
      <c r="K64" s="5"/>
      <c r="M64" s="26">
        <f t="shared" ref="M64:U64" si="34">SUM(M57:M62)</f>
        <v>10095.138888888887</v>
      </c>
      <c r="N64" s="26">
        <f t="shared" si="34"/>
        <v>4333.8805144032922</v>
      </c>
      <c r="O64" s="26">
        <f t="shared" si="34"/>
        <v>5761.2583744855956</v>
      </c>
      <c r="P64" s="26">
        <f t="shared" si="34"/>
        <v>2146.0687444958849</v>
      </c>
      <c r="Q64" s="26">
        <f t="shared" si="34"/>
        <v>688.98292024265629</v>
      </c>
      <c r="R64" s="26">
        <f t="shared" si="34"/>
        <v>569.8576214262506</v>
      </c>
      <c r="S64" s="26">
        <f t="shared" si="34"/>
        <v>119.1252988164056</v>
      </c>
      <c r="T64" s="26">
        <f t="shared" si="34"/>
        <v>43.611771896686093</v>
      </c>
      <c r="U64" s="26">
        <f t="shared" si="34"/>
        <v>2189.6805163925706</v>
      </c>
    </row>
    <row r="67" spans="1:21" s="3" customFormat="1" ht="21" x14ac:dyDescent="0.5">
      <c r="A67" s="23"/>
      <c r="B67" s="23"/>
    </row>
    <row r="68" spans="1:21" s="54" customFormat="1" ht="21" x14ac:dyDescent="0.5">
      <c r="A68" s="23"/>
      <c r="B68" s="23"/>
      <c r="C68" s="118"/>
      <c r="D68" s="118"/>
      <c r="E68" s="118"/>
      <c r="F68" s="118"/>
      <c r="G68" s="42"/>
      <c r="H68" s="118"/>
      <c r="I68" s="118"/>
      <c r="J68" s="118"/>
      <c r="K68" s="118"/>
      <c r="L68" s="3"/>
      <c r="M68" s="42"/>
      <c r="N68" s="42"/>
      <c r="O68" s="42"/>
      <c r="P68" s="42"/>
      <c r="Q68" s="42"/>
      <c r="R68" s="42"/>
      <c r="S68" s="42"/>
      <c r="T68" s="42"/>
      <c r="U68" s="42"/>
    </row>
    <row r="69" spans="1:21" s="3" customFormat="1" x14ac:dyDescent="0.35">
      <c r="A69" s="54"/>
      <c r="B69" s="54"/>
    </row>
    <row r="70" spans="1:21" s="30" customFormat="1" x14ac:dyDescent="0.35"/>
    <row r="71" spans="1:21" s="3" customFormat="1" x14ac:dyDescent="0.35">
      <c r="A71" s="54"/>
      <c r="B71" s="30"/>
      <c r="C71" s="31"/>
      <c r="D71" s="33"/>
      <c r="F71" s="33"/>
    </row>
    <row r="72" spans="1:21" s="3" customFormat="1" x14ac:dyDescent="0.35">
      <c r="A72" s="54"/>
      <c r="B72" s="30"/>
      <c r="C72" s="31"/>
      <c r="D72" s="33"/>
      <c r="F72" s="33"/>
    </row>
    <row r="73" spans="1:21" s="3" customFormat="1" x14ac:dyDescent="0.35">
      <c r="A73" s="54"/>
      <c r="B73" s="54"/>
      <c r="C73" s="31"/>
      <c r="D73" s="33"/>
      <c r="F73" s="33"/>
    </row>
    <row r="74" spans="1:21" s="3" customFormat="1" x14ac:dyDescent="0.35">
      <c r="A74" s="54"/>
      <c r="B74" s="54"/>
      <c r="C74" s="31"/>
      <c r="D74" s="33"/>
      <c r="F74" s="33"/>
    </row>
    <row r="75" spans="1:21" s="3" customFormat="1" x14ac:dyDescent="0.35">
      <c r="A75" s="54"/>
      <c r="B75" s="54"/>
      <c r="C75" s="31"/>
      <c r="D75" s="33"/>
      <c r="F75" s="33"/>
    </row>
    <row r="76" spans="1:21" s="3" customFormat="1" x14ac:dyDescent="0.35">
      <c r="A76" s="54"/>
      <c r="B76" s="54"/>
      <c r="C76" s="31"/>
      <c r="D76" s="33"/>
      <c r="F76" s="33"/>
    </row>
    <row r="77" spans="1:21" s="3" customFormat="1" x14ac:dyDescent="0.35">
      <c r="A77" s="54"/>
      <c r="B77" s="54"/>
      <c r="C77" s="31"/>
      <c r="D77" s="33"/>
      <c r="F77" s="33"/>
    </row>
    <row r="78" spans="1:21" s="3" customFormat="1" x14ac:dyDescent="0.35">
      <c r="A78" s="54"/>
      <c r="B78" s="54"/>
      <c r="C78" s="31"/>
      <c r="D78" s="33"/>
      <c r="F78" s="33"/>
    </row>
    <row r="79" spans="1:21" s="3" customFormat="1" x14ac:dyDescent="0.35">
      <c r="A79" s="54"/>
      <c r="B79" s="54"/>
      <c r="C79" s="31"/>
      <c r="D79" s="33"/>
      <c r="F79" s="33"/>
    </row>
    <row r="80" spans="1:21" s="3" customFormat="1" x14ac:dyDescent="0.35">
      <c r="A80" s="54"/>
      <c r="B80" s="54"/>
    </row>
    <row r="81" spans="1:2" s="3" customFormat="1" x14ac:dyDescent="0.35">
      <c r="A81" s="54"/>
      <c r="B81" s="54"/>
    </row>
    <row r="82" spans="1:2" s="3" customFormat="1" x14ac:dyDescent="0.35">
      <c r="A82" s="54"/>
      <c r="B82" s="54"/>
    </row>
    <row r="83" spans="1:2" s="3" customFormat="1" x14ac:dyDescent="0.35">
      <c r="A83" s="54"/>
      <c r="B83" s="54"/>
    </row>
    <row r="84" spans="1:2" s="3" customFormat="1" x14ac:dyDescent="0.35">
      <c r="A84" s="54"/>
      <c r="B84" s="54"/>
    </row>
    <row r="85" spans="1:2" s="3" customFormat="1" x14ac:dyDescent="0.35">
      <c r="A85" s="54"/>
      <c r="B85" s="54"/>
    </row>
    <row r="86" spans="1:2" s="3" customFormat="1" x14ac:dyDescent="0.35">
      <c r="A86" s="54"/>
      <c r="B86" s="54"/>
    </row>
    <row r="87" spans="1:2" s="3" customFormat="1" x14ac:dyDescent="0.35">
      <c r="A87" s="54"/>
      <c r="B87" s="54"/>
    </row>
    <row r="88" spans="1:2" s="3" customFormat="1" x14ac:dyDescent="0.35">
      <c r="A88" s="54"/>
      <c r="B88" s="54"/>
    </row>
    <row r="89" spans="1:2" s="3" customFormat="1" x14ac:dyDescent="0.35">
      <c r="A89" s="54"/>
      <c r="B89" s="54"/>
    </row>
    <row r="90" spans="1:2" s="3" customFormat="1" x14ac:dyDescent="0.35">
      <c r="A90" s="54"/>
      <c r="B90" s="54"/>
    </row>
    <row r="91" spans="1:2" s="3" customFormat="1" x14ac:dyDescent="0.35">
      <c r="A91" s="54"/>
      <c r="B91" s="54"/>
    </row>
    <row r="92" spans="1:2" s="3" customFormat="1" x14ac:dyDescent="0.35">
      <c r="A92" s="54"/>
      <c r="B92" s="54"/>
    </row>
    <row r="93" spans="1:2" s="3" customFormat="1" x14ac:dyDescent="0.35">
      <c r="A93" s="54"/>
      <c r="B93" s="54"/>
    </row>
    <row r="94" spans="1:2" s="3" customFormat="1" x14ac:dyDescent="0.35">
      <c r="A94" s="54"/>
      <c r="B94" s="54"/>
    </row>
  </sheetData>
  <mergeCells count="19">
    <mergeCell ref="X18:Z18"/>
    <mergeCell ref="C17:M17"/>
    <mergeCell ref="P17:AC17"/>
    <mergeCell ref="A1:H2"/>
    <mergeCell ref="C55:K55"/>
    <mergeCell ref="M55:U55"/>
    <mergeCell ref="O31:R31"/>
    <mergeCell ref="B5:I5"/>
    <mergeCell ref="K5:Q5"/>
    <mergeCell ref="F18:I18"/>
    <mergeCell ref="K18:M18"/>
    <mergeCell ref="S18:V18"/>
    <mergeCell ref="C30:G30"/>
    <mergeCell ref="J30:R30"/>
    <mergeCell ref="C68:F68"/>
    <mergeCell ref="H68:K68"/>
    <mergeCell ref="J31:N31"/>
    <mergeCell ref="C43:I43"/>
    <mergeCell ref="K43:Q4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57"/>
  <sheetViews>
    <sheetView topLeftCell="A48" workbookViewId="0">
      <selection activeCell="L48" sqref="L48"/>
    </sheetView>
  </sheetViews>
  <sheetFormatPr defaultRowHeight="14.5" x14ac:dyDescent="0.35"/>
  <sheetData>
    <row r="3" spans="1:1" s="1" customFormat="1" x14ac:dyDescent="0.35">
      <c r="A3" s="1" t="s">
        <v>86</v>
      </c>
    </row>
    <row r="15" spans="1:1" s="1" customFormat="1" x14ac:dyDescent="0.35">
      <c r="A15" s="1" t="s">
        <v>58</v>
      </c>
    </row>
    <row r="27" spans="1:1" s="1" customFormat="1" x14ac:dyDescent="0.35">
      <c r="A27" s="1" t="s">
        <v>198</v>
      </c>
    </row>
    <row r="46" spans="1:1" s="1" customFormat="1" x14ac:dyDescent="0.35">
      <c r="A46" s="1" t="s">
        <v>85</v>
      </c>
    </row>
    <row r="57" spans="1:1" s="1" customFormat="1" x14ac:dyDescent="0.35">
      <c r="A57" s="1" t="s">
        <v>87</v>
      </c>
    </row>
  </sheetData>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1"/>
  <sheetViews>
    <sheetView workbookViewId="0">
      <selection activeCell="A71" sqref="A71:J71"/>
    </sheetView>
  </sheetViews>
  <sheetFormatPr defaultRowHeight="14.5" x14ac:dyDescent="0.35"/>
  <cols>
    <col min="1" max="1" width="23.7265625" customWidth="1"/>
    <col min="2" max="2" width="10.26953125" customWidth="1"/>
    <col min="4" max="4" width="27.08984375" customWidth="1"/>
    <col min="5" max="5" width="30.7265625" style="13" customWidth="1"/>
    <col min="6" max="6" width="8.7265625" style="13"/>
    <col min="12" max="12" width="8.7265625" style="13"/>
  </cols>
  <sheetData>
    <row r="1" spans="1:7" x14ac:dyDescent="0.35">
      <c r="A1" s="1" t="s">
        <v>95</v>
      </c>
    </row>
    <row r="2" spans="1:7" x14ac:dyDescent="0.35">
      <c r="D2" s="122" t="s">
        <v>199</v>
      </c>
      <c r="E2" s="122"/>
      <c r="F2" s="122"/>
      <c r="G2" s="122"/>
    </row>
    <row r="3" spans="1:7" x14ac:dyDescent="0.35">
      <c r="A3" t="s">
        <v>24</v>
      </c>
      <c r="B3" t="s">
        <v>25</v>
      </c>
      <c r="C3" t="s">
        <v>31</v>
      </c>
      <c r="D3" t="s">
        <v>192</v>
      </c>
      <c r="E3" s="13" t="s">
        <v>193</v>
      </c>
      <c r="F3" s="43" t="s">
        <v>194</v>
      </c>
      <c r="G3" s="43" t="s">
        <v>195</v>
      </c>
    </row>
    <row r="4" spans="1:7" x14ac:dyDescent="0.35">
      <c r="A4" t="s">
        <v>26</v>
      </c>
      <c r="B4">
        <f>108/168</f>
        <v>0.6428571428571429</v>
      </c>
      <c r="C4">
        <v>8.2000000000000003E-2</v>
      </c>
      <c r="D4">
        <v>0.05</v>
      </c>
      <c r="E4" s="13">
        <v>7.0000000000000007E-2</v>
      </c>
      <c r="F4" s="43">
        <v>0.36</v>
      </c>
      <c r="G4" s="43">
        <v>0.35</v>
      </c>
    </row>
    <row r="5" spans="1:7" x14ac:dyDescent="0.35">
      <c r="A5" t="s">
        <v>27</v>
      </c>
      <c r="B5">
        <f>30/168</f>
        <v>0.17857142857142858</v>
      </c>
      <c r="C5">
        <v>0.113</v>
      </c>
      <c r="D5">
        <v>0.1</v>
      </c>
      <c r="E5" s="13">
        <v>0.18</v>
      </c>
      <c r="F5" s="43">
        <v>0.4</v>
      </c>
      <c r="G5" s="43">
        <v>0.39</v>
      </c>
    </row>
    <row r="6" spans="1:7" x14ac:dyDescent="0.35">
      <c r="A6" t="s">
        <v>28</v>
      </c>
      <c r="B6">
        <f>30/168</f>
        <v>0.17857142857142858</v>
      </c>
      <c r="C6">
        <v>0.17</v>
      </c>
      <c r="D6">
        <v>0.14000000000000001</v>
      </c>
      <c r="E6" s="13">
        <v>0.21</v>
      </c>
      <c r="F6" s="43">
        <v>0.39</v>
      </c>
      <c r="G6" s="43">
        <v>0.4</v>
      </c>
    </row>
    <row r="7" spans="1:7" x14ac:dyDescent="0.35">
      <c r="A7" t="s">
        <v>29</v>
      </c>
      <c r="C7">
        <f>C4*$B4 + C5*$B5 + C6*$B6</f>
        <v>0.10325000000000001</v>
      </c>
      <c r="D7">
        <f>D4*$B4 + D5*$B5 + D6*$B6</f>
        <v>7.5000000000000011E-2</v>
      </c>
      <c r="E7">
        <f>E4*$B4 + E5*$B5 + E6*$B6</f>
        <v>0.11464285714285716</v>
      </c>
      <c r="F7">
        <f t="shared" ref="F7:G7" si="0">F4*$B4 + F5*$B5 + F6*$B6</f>
        <v>0.37250000000000005</v>
      </c>
      <c r="G7">
        <f t="shared" si="0"/>
        <v>0.3660714285714286</v>
      </c>
    </row>
    <row r="11" spans="1:7" x14ac:dyDescent="0.35">
      <c r="A11" s="10" t="s">
        <v>32</v>
      </c>
    </row>
    <row r="12" spans="1:7" x14ac:dyDescent="0.35">
      <c r="A12" s="10"/>
    </row>
    <row r="13" spans="1:7" x14ac:dyDescent="0.35">
      <c r="A13" t="s">
        <v>219</v>
      </c>
      <c r="D13" s="3"/>
      <c r="E13" s="43"/>
    </row>
    <row r="14" spans="1:7" x14ac:dyDescent="0.35">
      <c r="A14" t="s">
        <v>33</v>
      </c>
      <c r="B14">
        <f>C7</f>
        <v>0.10325000000000001</v>
      </c>
      <c r="D14" s="3"/>
      <c r="E14" s="43"/>
    </row>
    <row r="15" spans="1:7" x14ac:dyDescent="0.35">
      <c r="A15" t="s">
        <v>34</v>
      </c>
      <c r="B15">
        <v>1.3299999999999999E-2</v>
      </c>
      <c r="D15" s="3"/>
      <c r="E15" s="43"/>
    </row>
    <row r="16" spans="1:7" x14ac:dyDescent="0.35">
      <c r="A16" t="s">
        <v>35</v>
      </c>
      <c r="B16">
        <v>7.3000000000000001E-3</v>
      </c>
      <c r="D16" s="3"/>
      <c r="E16" s="43"/>
    </row>
    <row r="17" spans="1:12" x14ac:dyDescent="0.35">
      <c r="A17" t="s">
        <v>36</v>
      </c>
      <c r="B17">
        <v>8.2000000000000007E-3</v>
      </c>
      <c r="D17" s="3"/>
      <c r="E17" s="43"/>
    </row>
    <row r="18" spans="1:12" x14ac:dyDescent="0.35">
      <c r="A18" t="s">
        <v>37</v>
      </c>
      <c r="B18">
        <v>5.0000000000000001E-4</v>
      </c>
      <c r="D18" s="3"/>
      <c r="E18" s="43"/>
    </row>
    <row r="19" spans="1:12" x14ac:dyDescent="0.35">
      <c r="A19" t="s">
        <v>38</v>
      </c>
      <c r="B19">
        <v>3.3999999999999998E-3</v>
      </c>
      <c r="D19" s="3"/>
      <c r="E19" s="43"/>
    </row>
    <row r="20" spans="1:12" x14ac:dyDescent="0.35">
      <c r="A20" t="s">
        <v>39</v>
      </c>
      <c r="B20">
        <v>1.0760000000000001</v>
      </c>
      <c r="D20" s="3"/>
      <c r="E20" s="43"/>
    </row>
    <row r="21" spans="1:12" x14ac:dyDescent="0.35">
      <c r="A21" t="s">
        <v>40</v>
      </c>
      <c r="B21">
        <v>0.13</v>
      </c>
      <c r="D21" s="3"/>
      <c r="E21" s="43"/>
    </row>
    <row r="22" spans="1:12" x14ac:dyDescent="0.35">
      <c r="A22" t="s">
        <v>41</v>
      </c>
      <c r="B22">
        <f>SUM(B14:B19)*B20*(1+B21)</f>
        <v>0.16529888600000001</v>
      </c>
      <c r="D22" s="3"/>
      <c r="E22" s="43"/>
    </row>
    <row r="24" spans="1:12" x14ac:dyDescent="0.35">
      <c r="A24" s="1" t="s">
        <v>96</v>
      </c>
    </row>
    <row r="26" spans="1:12" x14ac:dyDescent="0.35">
      <c r="A26" s="9" t="s">
        <v>89</v>
      </c>
    </row>
    <row r="27" spans="1:12" x14ac:dyDescent="0.35">
      <c r="A27" s="8"/>
    </row>
    <row r="28" spans="1:12" x14ac:dyDescent="0.35">
      <c r="A28" s="8" t="s">
        <v>92</v>
      </c>
      <c r="B28">
        <v>290.10000000000002</v>
      </c>
    </row>
    <row r="29" spans="1:12" x14ac:dyDescent="0.35">
      <c r="A29" s="8" t="s">
        <v>83</v>
      </c>
      <c r="B29">
        <v>3105800</v>
      </c>
    </row>
    <row r="30" spans="1:12" x14ac:dyDescent="0.35">
      <c r="A30" s="8"/>
    </row>
    <row r="31" spans="1:12" x14ac:dyDescent="0.35">
      <c r="A31" s="11" t="s">
        <v>63</v>
      </c>
      <c r="B31" s="12" t="s">
        <v>64</v>
      </c>
      <c r="C31" s="12" t="s">
        <v>65</v>
      </c>
      <c r="D31" s="12" t="s">
        <v>76</v>
      </c>
      <c r="F31" s="14" t="s">
        <v>90</v>
      </c>
      <c r="L31" s="14" t="s">
        <v>91</v>
      </c>
    </row>
    <row r="32" spans="1:12" x14ac:dyDescent="0.35">
      <c r="A32" s="8" t="s">
        <v>66</v>
      </c>
      <c r="B32">
        <v>5.8999999999999997E-2</v>
      </c>
      <c r="C32">
        <v>0.78</v>
      </c>
      <c r="D32">
        <f>B32*C32</f>
        <v>4.6019999999999998E-2</v>
      </c>
    </row>
    <row r="33" spans="1:15" x14ac:dyDescent="0.35">
      <c r="A33" s="8" t="s">
        <v>67</v>
      </c>
      <c r="B33">
        <v>0.15</v>
      </c>
      <c r="C33">
        <v>0.8</v>
      </c>
      <c r="D33">
        <f t="shared" ref="D33:D41" si="1">B33*C33</f>
        <v>0.12</v>
      </c>
      <c r="F33" s="13" t="s">
        <v>78</v>
      </c>
      <c r="G33">
        <v>53.8</v>
      </c>
      <c r="L33" s="13" t="s">
        <v>80</v>
      </c>
      <c r="M33">
        <v>54</v>
      </c>
    </row>
    <row r="34" spans="1:15" x14ac:dyDescent="0.35">
      <c r="A34" s="8" t="s">
        <v>68</v>
      </c>
      <c r="B34">
        <v>0.496</v>
      </c>
      <c r="C34">
        <v>0.9</v>
      </c>
      <c r="D34">
        <f t="shared" si="1"/>
        <v>0.44640000000000002</v>
      </c>
      <c r="F34" s="13" t="s">
        <v>82</v>
      </c>
      <c r="G34">
        <v>846300</v>
      </c>
      <c r="L34" s="13" t="s">
        <v>81</v>
      </c>
      <c r="M34">
        <v>1585200</v>
      </c>
    </row>
    <row r="35" spans="1:15" x14ac:dyDescent="0.35">
      <c r="A35" s="8" t="s">
        <v>69</v>
      </c>
      <c r="B35">
        <v>9.9000000000000005E-2</v>
      </c>
      <c r="C35">
        <v>1</v>
      </c>
      <c r="D35">
        <f t="shared" si="1"/>
        <v>9.9000000000000005E-2</v>
      </c>
      <c r="F35" s="13" t="s">
        <v>63</v>
      </c>
      <c r="G35" t="s">
        <v>64</v>
      </c>
      <c r="H35" t="s">
        <v>65</v>
      </c>
      <c r="I35" t="s">
        <v>76</v>
      </c>
      <c r="L35" s="13" t="s">
        <v>63</v>
      </c>
      <c r="M35" t="s">
        <v>64</v>
      </c>
      <c r="N35" t="s">
        <v>65</v>
      </c>
      <c r="O35" t="s">
        <v>76</v>
      </c>
    </row>
    <row r="36" spans="1:15" x14ac:dyDescent="0.35">
      <c r="A36" s="8" t="s">
        <v>70</v>
      </c>
      <c r="B36">
        <v>0.10100000000000001</v>
      </c>
      <c r="C36">
        <v>1.9</v>
      </c>
      <c r="D36">
        <f t="shared" si="1"/>
        <v>0.19190000000000002</v>
      </c>
      <c r="F36" s="13" t="s">
        <v>66</v>
      </c>
      <c r="G36">
        <v>6.4000000000000001E-2</v>
      </c>
      <c r="H36">
        <v>0.78</v>
      </c>
      <c r="I36">
        <f>G36*H36</f>
        <v>4.9920000000000006E-2</v>
      </c>
      <c r="L36" s="13" t="s">
        <v>66</v>
      </c>
      <c r="M36">
        <v>6.5000000000000002E-2</v>
      </c>
      <c r="N36">
        <v>0.78</v>
      </c>
      <c r="O36">
        <f>M36*N36</f>
        <v>5.0700000000000002E-2</v>
      </c>
    </row>
    <row r="37" spans="1:15" x14ac:dyDescent="0.35">
      <c r="A37" s="8" t="s">
        <v>15</v>
      </c>
      <c r="B37">
        <v>0.01</v>
      </c>
      <c r="C37">
        <v>0.5</v>
      </c>
      <c r="D37">
        <f t="shared" si="1"/>
        <v>5.0000000000000001E-3</v>
      </c>
      <c r="F37" s="13" t="s">
        <v>67</v>
      </c>
      <c r="G37">
        <v>0.156</v>
      </c>
      <c r="H37">
        <v>0.8</v>
      </c>
      <c r="I37">
        <f t="shared" ref="I37:I46" si="2">G37*H37</f>
        <v>0.12480000000000001</v>
      </c>
      <c r="L37" s="13" t="s">
        <v>67</v>
      </c>
      <c r="M37">
        <v>0.154</v>
      </c>
      <c r="N37">
        <v>0.8</v>
      </c>
      <c r="O37">
        <f t="shared" ref="O37:O46" si="3">M37*N37</f>
        <v>0.1232</v>
      </c>
    </row>
    <row r="38" spans="1:15" x14ac:dyDescent="0.35">
      <c r="A38" s="8" t="s">
        <v>71</v>
      </c>
      <c r="B38">
        <v>3.7999999999999999E-2</v>
      </c>
      <c r="C38">
        <v>0.75</v>
      </c>
      <c r="D38">
        <f t="shared" si="1"/>
        <v>2.8499999999999998E-2</v>
      </c>
      <c r="F38" s="13" t="s">
        <v>68</v>
      </c>
      <c r="G38">
        <v>0.54500000000000004</v>
      </c>
      <c r="H38">
        <v>0.9</v>
      </c>
      <c r="I38">
        <f t="shared" si="2"/>
        <v>0.49050000000000005</v>
      </c>
      <c r="L38" s="13" t="s">
        <v>68</v>
      </c>
      <c r="M38">
        <v>0.55900000000000005</v>
      </c>
      <c r="N38">
        <v>0.9</v>
      </c>
      <c r="O38">
        <f t="shared" si="3"/>
        <v>0.5031000000000001</v>
      </c>
    </row>
    <row r="39" spans="1:15" x14ac:dyDescent="0.35">
      <c r="A39" s="8" t="s">
        <v>72</v>
      </c>
      <c r="B39">
        <v>3.4000000000000002E-2</v>
      </c>
      <c r="C39">
        <v>0.64</v>
      </c>
      <c r="D39">
        <f t="shared" si="1"/>
        <v>2.1760000000000002E-2</v>
      </c>
      <c r="F39" s="13" t="s">
        <v>69</v>
      </c>
      <c r="G39">
        <v>0.152</v>
      </c>
      <c r="H39">
        <v>1</v>
      </c>
      <c r="I39">
        <f t="shared" si="2"/>
        <v>0.152</v>
      </c>
      <c r="L39" s="13" t="s">
        <v>69</v>
      </c>
      <c r="M39">
        <v>0.16800000000000001</v>
      </c>
      <c r="N39">
        <v>1</v>
      </c>
      <c r="O39">
        <f t="shared" si="3"/>
        <v>0.16800000000000001</v>
      </c>
    </row>
    <row r="40" spans="1:15" x14ac:dyDescent="0.35">
      <c r="A40" s="8" t="s">
        <v>73</v>
      </c>
      <c r="B40">
        <v>8.0000000000000002E-3</v>
      </c>
      <c r="C40">
        <v>0.9</v>
      </c>
      <c r="D40">
        <f t="shared" si="1"/>
        <v>7.2000000000000007E-3</v>
      </c>
      <c r="F40" s="13" t="s">
        <v>70</v>
      </c>
      <c r="G40">
        <v>4.2000000000000003E-2</v>
      </c>
      <c r="H40">
        <v>1.9</v>
      </c>
      <c r="I40">
        <f t="shared" si="2"/>
        <v>7.9799999999999996E-2</v>
      </c>
      <c r="L40" s="13" t="s">
        <v>70</v>
      </c>
      <c r="M40">
        <v>1.4E-2</v>
      </c>
      <c r="N40">
        <v>1.9</v>
      </c>
      <c r="O40">
        <f t="shared" si="3"/>
        <v>2.6599999999999999E-2</v>
      </c>
    </row>
    <row r="41" spans="1:15" x14ac:dyDescent="0.35">
      <c r="A41" s="8" t="s">
        <v>74</v>
      </c>
      <c r="B41">
        <v>5.0000000000000001E-3</v>
      </c>
      <c r="C41">
        <v>0.89</v>
      </c>
      <c r="D41">
        <f t="shared" si="1"/>
        <v>4.45E-3</v>
      </c>
      <c r="F41" s="13" t="s">
        <v>15</v>
      </c>
      <c r="G41">
        <v>1.0999999999999999E-2</v>
      </c>
      <c r="H41">
        <v>0.5</v>
      </c>
      <c r="I41">
        <f t="shared" si="2"/>
        <v>5.4999999999999997E-3</v>
      </c>
      <c r="L41" s="13" t="s">
        <v>15</v>
      </c>
      <c r="M41">
        <v>1.0999999999999999E-2</v>
      </c>
      <c r="N41">
        <v>0.5</v>
      </c>
      <c r="O41">
        <f t="shared" si="3"/>
        <v>5.4999999999999997E-3</v>
      </c>
    </row>
    <row r="42" spans="1:15" x14ac:dyDescent="0.35">
      <c r="A42" s="8"/>
      <c r="F42" s="13" t="s">
        <v>79</v>
      </c>
      <c r="G42">
        <v>2.1000000000000001E-2</v>
      </c>
      <c r="H42">
        <v>0.5</v>
      </c>
      <c r="I42">
        <f t="shared" si="2"/>
        <v>1.0500000000000001E-2</v>
      </c>
      <c r="L42" s="13" t="s">
        <v>79</v>
      </c>
      <c r="M42">
        <v>2.3E-2</v>
      </c>
      <c r="N42">
        <v>0.5</v>
      </c>
      <c r="O42">
        <f t="shared" si="3"/>
        <v>1.15E-2</v>
      </c>
    </row>
    <row r="43" spans="1:15" x14ac:dyDescent="0.35">
      <c r="A43" s="8" t="s">
        <v>75</v>
      </c>
      <c r="C43">
        <f>B28*SUM(D32:D41)/B29*1000000</f>
        <v>90.625192542984081</v>
      </c>
      <c r="D43">
        <f>SUM(D32:D41)</f>
        <v>0.97022999999999981</v>
      </c>
      <c r="F43" s="13" t="s">
        <v>71</v>
      </c>
      <c r="G43">
        <v>2E-3</v>
      </c>
      <c r="H43">
        <v>0.75</v>
      </c>
      <c r="I43">
        <f t="shared" si="2"/>
        <v>1.5E-3</v>
      </c>
      <c r="L43" s="13" t="s">
        <v>71</v>
      </c>
      <c r="M43">
        <v>1E-3</v>
      </c>
      <c r="N43">
        <v>0.75</v>
      </c>
      <c r="O43">
        <f t="shared" si="3"/>
        <v>7.5000000000000002E-4</v>
      </c>
    </row>
    <row r="44" spans="1:15" x14ac:dyDescent="0.35">
      <c r="A44" s="8"/>
      <c r="F44" s="13" t="s">
        <v>72</v>
      </c>
      <c r="G44">
        <v>2E-3</v>
      </c>
      <c r="H44">
        <v>0.64</v>
      </c>
      <c r="I44">
        <f t="shared" si="2"/>
        <v>1.2800000000000001E-3</v>
      </c>
      <c r="L44" s="13" t="s">
        <v>72</v>
      </c>
      <c r="M44">
        <v>1E-3</v>
      </c>
      <c r="N44">
        <v>0.64</v>
      </c>
      <c r="O44">
        <f t="shared" si="3"/>
        <v>6.4000000000000005E-4</v>
      </c>
    </row>
    <row r="45" spans="1:15" x14ac:dyDescent="0.35">
      <c r="A45" s="8"/>
      <c r="F45" s="13" t="s">
        <v>73</v>
      </c>
      <c r="G45">
        <v>3.0000000000000001E-3</v>
      </c>
      <c r="H45">
        <v>0.9</v>
      </c>
      <c r="I45">
        <f t="shared" si="2"/>
        <v>2.7000000000000001E-3</v>
      </c>
      <c r="L45" s="13" t="s">
        <v>73</v>
      </c>
      <c r="M45">
        <v>3.0000000000000001E-3</v>
      </c>
      <c r="N45">
        <v>0.9</v>
      </c>
      <c r="O45">
        <f t="shared" si="3"/>
        <v>2.7000000000000001E-3</v>
      </c>
    </row>
    <row r="46" spans="1:15" x14ac:dyDescent="0.35">
      <c r="A46" s="8"/>
      <c r="F46" s="13" t="s">
        <v>74</v>
      </c>
      <c r="G46">
        <v>1E-3</v>
      </c>
      <c r="H46">
        <v>0.89</v>
      </c>
      <c r="I46">
        <f t="shared" si="2"/>
        <v>8.9000000000000006E-4</v>
      </c>
      <c r="L46" s="13" t="s">
        <v>74</v>
      </c>
      <c r="M46">
        <v>2E-3</v>
      </c>
      <c r="N46">
        <v>0.89</v>
      </c>
      <c r="O46">
        <f t="shared" si="3"/>
        <v>1.7800000000000001E-3</v>
      </c>
    </row>
    <row r="47" spans="1:15" x14ac:dyDescent="0.35">
      <c r="A47" s="8"/>
    </row>
    <row r="48" spans="1:15" x14ac:dyDescent="0.35">
      <c r="A48" s="8"/>
      <c r="F48" s="13" t="s">
        <v>75</v>
      </c>
      <c r="H48">
        <f>G33*SUM(I36:I46)/G34*1000000</f>
        <v>58.446392532198971</v>
      </c>
      <c r="I48">
        <f>SUM(I36:I46)</f>
        <v>0.91938999999999982</v>
      </c>
      <c r="L48" s="13" t="s">
        <v>75</v>
      </c>
      <c r="N48">
        <f>M33*SUM(O36:O46)/M34*1000000</f>
        <v>30.470211960635883</v>
      </c>
      <c r="O48">
        <f>SUM(O36:O46)</f>
        <v>0.89446999999999999</v>
      </c>
    </row>
    <row r="49" spans="1:6" x14ac:dyDescent="0.35">
      <c r="A49" s="15" t="s">
        <v>97</v>
      </c>
    </row>
    <row r="51" spans="1:6" x14ac:dyDescent="0.35">
      <c r="A51" s="2" t="s">
        <v>164</v>
      </c>
      <c r="E51" s="2" t="s">
        <v>165</v>
      </c>
      <c r="F51"/>
    </row>
    <row r="52" spans="1:6" x14ac:dyDescent="0.35">
      <c r="E52"/>
      <c r="F52"/>
    </row>
    <row r="53" spans="1:6" x14ac:dyDescent="0.35">
      <c r="A53" t="s">
        <v>99</v>
      </c>
      <c r="B53">
        <v>24.8</v>
      </c>
      <c r="E53" t="s">
        <v>104</v>
      </c>
      <c r="F53">
        <v>1.4</v>
      </c>
    </row>
    <row r="54" spans="1:6" x14ac:dyDescent="0.35">
      <c r="A54" t="s">
        <v>100</v>
      </c>
      <c r="B54">
        <v>3821800</v>
      </c>
      <c r="E54" t="s">
        <v>105</v>
      </c>
      <c r="F54">
        <v>554800</v>
      </c>
    </row>
    <row r="55" spans="1:6" x14ac:dyDescent="0.35">
      <c r="A55" t="s">
        <v>101</v>
      </c>
      <c r="B55">
        <v>12.5</v>
      </c>
      <c r="E55" t="s">
        <v>106</v>
      </c>
      <c r="F55">
        <v>11.6</v>
      </c>
    </row>
    <row r="56" spans="1:6" x14ac:dyDescent="0.35">
      <c r="A56" t="s">
        <v>102</v>
      </c>
      <c r="B56">
        <v>3.19</v>
      </c>
      <c r="E56" t="s">
        <v>102</v>
      </c>
      <c r="F56">
        <v>3.4</v>
      </c>
    </row>
    <row r="57" spans="1:6" x14ac:dyDescent="0.35">
      <c r="A57" t="s">
        <v>103</v>
      </c>
      <c r="B57">
        <f>B53*1000000*B56/B54</f>
        <v>20.700193626040086</v>
      </c>
      <c r="E57" t="s">
        <v>103</v>
      </c>
      <c r="F57">
        <f>F53*1000000*F56/F54</f>
        <v>8.5796683489545789</v>
      </c>
    </row>
    <row r="58" spans="1:6" x14ac:dyDescent="0.35">
      <c r="A58" t="s">
        <v>117</v>
      </c>
      <c r="E58"/>
      <c r="F58"/>
    </row>
    <row r="59" spans="1:6" x14ac:dyDescent="0.35">
      <c r="E59"/>
      <c r="F59"/>
    </row>
    <row r="65" spans="1:10" x14ac:dyDescent="0.35">
      <c r="A65" s="2" t="s">
        <v>166</v>
      </c>
      <c r="E65" s="2" t="s">
        <v>171</v>
      </c>
      <c r="F65"/>
      <c r="I65" s="2" t="s">
        <v>172</v>
      </c>
    </row>
    <row r="66" spans="1:10" x14ac:dyDescent="0.35">
      <c r="E66"/>
      <c r="F66"/>
    </row>
    <row r="67" spans="1:10" x14ac:dyDescent="0.35">
      <c r="A67" t="s">
        <v>167</v>
      </c>
      <c r="B67">
        <f>B57</f>
        <v>20.700193626040086</v>
      </c>
      <c r="E67" t="s">
        <v>167</v>
      </c>
      <c r="F67">
        <f>B57</f>
        <v>20.700193626040086</v>
      </c>
      <c r="I67" t="s">
        <v>167</v>
      </c>
      <c r="J67">
        <f>B57</f>
        <v>20.700193626040086</v>
      </c>
    </row>
    <row r="68" spans="1:10" x14ac:dyDescent="0.35">
      <c r="A68" t="s">
        <v>170</v>
      </c>
      <c r="B68">
        <v>391424</v>
      </c>
      <c r="E68" t="s">
        <v>170</v>
      </c>
      <c r="F68">
        <v>391424</v>
      </c>
      <c r="I68" t="s">
        <v>170</v>
      </c>
      <c r="J68">
        <v>391424</v>
      </c>
    </row>
    <row r="69" spans="1:10" x14ac:dyDescent="0.35">
      <c r="A69" t="s">
        <v>169</v>
      </c>
      <c r="B69">
        <f>'input data'!$B11</f>
        <v>214999.99999999997</v>
      </c>
      <c r="E69" t="s">
        <v>168</v>
      </c>
      <c r="F69">
        <f>'input data'!$B14</f>
        <v>94599.999999999985</v>
      </c>
      <c r="I69" t="s">
        <v>173</v>
      </c>
      <c r="J69" t="e">
        <f>'input data'!#REF!</f>
        <v>#REF!</v>
      </c>
    </row>
    <row r="71" spans="1:10" x14ac:dyDescent="0.35">
      <c r="A71" t="s">
        <v>174</v>
      </c>
      <c r="B71" s="13">
        <v>25.046896176089035</v>
      </c>
      <c r="E71" s="43" t="s">
        <v>175</v>
      </c>
      <c r="F71" s="13">
        <v>16.145019168693153</v>
      </c>
      <c r="I71" t="s">
        <v>176</v>
      </c>
      <c r="J71" s="13">
        <v>8.4319021343346083</v>
      </c>
    </row>
    <row r="73" spans="1:10" x14ac:dyDescent="0.35">
      <c r="A73" s="8"/>
    </row>
    <row r="74" spans="1:10" x14ac:dyDescent="0.35">
      <c r="A74" t="s">
        <v>177</v>
      </c>
    </row>
    <row r="79" spans="1:10" x14ac:dyDescent="0.35">
      <c r="A79" s="1" t="s">
        <v>98</v>
      </c>
    </row>
    <row r="87" spans="1:17" x14ac:dyDescent="0.35">
      <c r="A87" s="1" t="s">
        <v>248</v>
      </c>
    </row>
    <row r="88" spans="1:17" x14ac:dyDescent="0.35">
      <c r="A88" s="8"/>
    </row>
    <row r="89" spans="1:17" s="2" customFormat="1" ht="58" x14ac:dyDescent="0.35">
      <c r="A89" s="17"/>
      <c r="B89" s="17"/>
      <c r="C89" s="17" t="s">
        <v>229</v>
      </c>
      <c r="D89" s="17" t="s">
        <v>227</v>
      </c>
      <c r="E89" s="17" t="s">
        <v>228</v>
      </c>
      <c r="F89" s="17" t="s">
        <v>230</v>
      </c>
      <c r="G89" s="17" t="s">
        <v>227</v>
      </c>
      <c r="H89" s="17" t="s">
        <v>231</v>
      </c>
      <c r="I89" s="17" t="s">
        <v>232</v>
      </c>
      <c r="J89" s="17"/>
      <c r="K89" s="17" t="s">
        <v>234</v>
      </c>
      <c r="L89" s="17" t="s">
        <v>227</v>
      </c>
      <c r="M89" s="17" t="s">
        <v>235</v>
      </c>
      <c r="N89" s="17" t="s">
        <v>230</v>
      </c>
      <c r="O89" s="17" t="s">
        <v>227</v>
      </c>
      <c r="P89" s="17" t="s">
        <v>231</v>
      </c>
      <c r="Q89" s="17" t="s">
        <v>232</v>
      </c>
    </row>
    <row r="90" spans="1:17" x14ac:dyDescent="0.35">
      <c r="A90" s="17" t="s">
        <v>46</v>
      </c>
      <c r="B90" s="17"/>
      <c r="E90"/>
      <c r="F90"/>
      <c r="L90"/>
    </row>
    <row r="91" spans="1:17" x14ac:dyDescent="0.35">
      <c r="A91" s="17" t="s">
        <v>48</v>
      </c>
      <c r="B91" s="17" t="s">
        <v>113</v>
      </c>
      <c r="C91" s="56">
        <f>outputs!K33</f>
        <v>64.000044936723611</v>
      </c>
      <c r="D91">
        <f>'input data'!$B$65</f>
        <v>1.9E-2</v>
      </c>
      <c r="E91">
        <f>C91/(1+D91)+C91/(1+D91)^2+C91/(1+D91)^3+C91/(1+D91)^4+C91/(1+D91)^5+C91/(1+D91)^6+C91/(1+D91)^7+C91/(1+D91)^8+C91/(1+D91)^9+C91/(1+D91)^10+C91/(1+D91)^11+C91/(1+D91)^12+C91/(1+D91)^13+C91/(1+D91)^14+C91/(1+D91)^15</f>
        <v>828.53920939022714</v>
      </c>
      <c r="F91">
        <f>outputs!Q45</f>
        <v>734.84336419753106</v>
      </c>
      <c r="G91">
        <f>'input data'!$B$65</f>
        <v>1.9E-2</v>
      </c>
      <c r="H91">
        <f>F91/(1+G91)+F91/(1+G91)^2+F91/(1+G91)^3+F91/(1+G91)^4+F91/(1+G91)^5+F91/(1+G91)^6+F91/(1+G91)^7+F91/(1+G91)^8+F91/(1+G91)^9+F91/(1+G91)^10+F91/(1+G91)^11+F91/(1+G91)^12+F91/(1+G91)^13+F91/(1+G91)^14+F91/(1+G91)^15</f>
        <v>9513.2205078893167</v>
      </c>
      <c r="I91">
        <f>E91/H91</f>
        <v>8.7093451550199985E-2</v>
      </c>
      <c r="K91" s="5">
        <f>outputs!O33</f>
        <v>8.3500449367235916</v>
      </c>
      <c r="L91">
        <f>'input data'!$B$65</f>
        <v>1.9E-2</v>
      </c>
      <c r="M91">
        <f t="shared" ref="M91:M96" si="4">K91/(1+L91)+K91/(1+L91)^2+K91/(1+L91)^3+K91/(1+L91)^4+K91/(1+L91)^5+K91/(1+L91)^6+K91/(1+L91)^7+K91/(1+L91)^8+K91/(1+L91)^9+K91/(1+L91)^10+K91/(1+L91)^11+K91/(1+L91)^12+K91/(1+L91)^13+K91/(1+L91)^14+K91/(1+L91)^15</f>
        <v>108.098980822372</v>
      </c>
      <c r="N91">
        <f>outputs!Q45</f>
        <v>734.84336419753106</v>
      </c>
      <c r="O91">
        <f>'input data'!$B$65</f>
        <v>1.9E-2</v>
      </c>
      <c r="P91">
        <f>N91/(1+O91)+N91/(1+O91)^2+N91/(1+O91)^3+N91/(1+O91)^4+N91/(1+O91)^5+N91/(1+O91)^6+N91/(1+O91)^7+N91/(1+O91)^8+N91/(1+O91)^9+N91/(1+O91)^10+N91/(1+O91)^11+N91/(1+O91)^12+N91/(1+O91)^13+N91/(1+O91)^14+N91/(1+O91)^15</f>
        <v>9513.2205078893167</v>
      </c>
      <c r="Q91">
        <f>M91/P91</f>
        <v>1.1363026930020751E-2</v>
      </c>
    </row>
    <row r="92" spans="1:17" x14ac:dyDescent="0.35">
      <c r="A92" s="17"/>
      <c r="B92" s="17" t="s">
        <v>114</v>
      </c>
      <c r="C92" s="56">
        <f>outputs!K34</f>
        <v>257.15022547801243</v>
      </c>
      <c r="D92">
        <f>'input data'!B$65</f>
        <v>1.9E-2</v>
      </c>
      <c r="E92">
        <f t="shared" ref="E92:E96" si="5">C92/(1+D92)+C92/(1+D92)^2+C92/(1+D92)^3+C92/(1+D92)^4+C92/(1+D92)^5+C92/(1+D92)^6+C92/(1+D92)^7+C92/(1+D92)^8+C92/(1+D92)^9+C92/(1+D92)^10+C92/(1+D92)^11+C92/(1+D92)^12+C92/(1+D92)^13+C92/(1+D92)^14+C92/(1+D92)^15</f>
        <v>3329.0452330575858</v>
      </c>
      <c r="F92">
        <f>outputs!Q46</f>
        <v>3506.7434431785077</v>
      </c>
      <c r="G92">
        <f>'input data'!$B$65</f>
        <v>1.9E-2</v>
      </c>
      <c r="H92">
        <f t="shared" ref="H92:H96" si="6">F92/(1+G92)+F92/(1+G92)^2+F92/(1+G92)^3+F92/(1+G92)^4+F92/(1+G92)^5+F92/(1+G92)^6+F92/(1+G92)^7+F92/(1+G92)^8+F92/(1+G92)^9+F92/(1+G92)^10+F92/(1+G92)^11+F92/(1+G92)^12+F92/(1+G92)^13+F92/(1+G92)^14+F92/(1+G92)^15</f>
        <v>45398.006248559737</v>
      </c>
      <c r="I92">
        <f t="shared" ref="I92:I96" si="7">E92/H92</f>
        <v>7.3330207825221413E-2</v>
      </c>
      <c r="K92" s="5">
        <f>outputs!O34</f>
        <v>33.550225478012464</v>
      </c>
      <c r="L92">
        <f>'input data'!$B$65</f>
        <v>1.9E-2</v>
      </c>
      <c r="M92">
        <f t="shared" si="4"/>
        <v>434.33840272924277</v>
      </c>
      <c r="N92">
        <f>outputs!Q46</f>
        <v>3506.7434431785077</v>
      </c>
      <c r="O92">
        <f>'input data'!$B$65</f>
        <v>1.9E-2</v>
      </c>
      <c r="P92">
        <f t="shared" ref="P92:P96" si="8">N92/(1+O92)+N92/(1+O92)^2+N92/(1+O92)^3+N92/(1+O92)^4+N92/(1+O92)^5+N92/(1+O92)^6+N92/(1+O92)^7+N92/(1+O92)^8+N92/(1+O92)^9+N92/(1+O92)^10+N92/(1+O92)^11+N92/(1+O92)^12+N92/(1+O92)^13+N92/(1+O92)^14+N92/(1+O92)^15</f>
        <v>45398.006248559737</v>
      </c>
      <c r="Q92">
        <f t="shared" ref="Q92:Q96" si="9">M92/P92</f>
        <v>9.5673453224175958E-3</v>
      </c>
    </row>
    <row r="93" spans="1:17" x14ac:dyDescent="0.35">
      <c r="A93" s="2"/>
      <c r="B93" s="2" t="s">
        <v>129</v>
      </c>
      <c r="C93" s="56">
        <f>outputs!K35</f>
        <v>30.188700441850745</v>
      </c>
      <c r="D93">
        <f>'input data'!B$65</f>
        <v>1.9E-2</v>
      </c>
      <c r="E93">
        <f t="shared" si="5"/>
        <v>390.82038178784268</v>
      </c>
      <c r="F93">
        <f>outputs!Q47</f>
        <v>334.14324141992114</v>
      </c>
      <c r="G93">
        <f>'input data'!$B$65</f>
        <v>1.9E-2</v>
      </c>
      <c r="H93">
        <f t="shared" si="6"/>
        <v>4325.790354410995</v>
      </c>
      <c r="I93">
        <f t="shared" si="7"/>
        <v>9.034658403852705E-2</v>
      </c>
      <c r="K93" s="5">
        <f>outputs!O35</f>
        <v>3.9387004418507452</v>
      </c>
      <c r="L93">
        <f>'input data'!$B$65</f>
        <v>1.9E-2</v>
      </c>
      <c r="M93">
        <f t="shared" si="4"/>
        <v>50.990085293571632</v>
      </c>
      <c r="N93">
        <f>outputs!Q47</f>
        <v>334.14324141992114</v>
      </c>
      <c r="O93">
        <f>'input data'!$B$65</f>
        <v>1.9E-2</v>
      </c>
      <c r="P93">
        <f t="shared" si="8"/>
        <v>4325.790354410995</v>
      </c>
      <c r="Q93">
        <f t="shared" si="9"/>
        <v>1.1787461045488994E-2</v>
      </c>
    </row>
    <row r="94" spans="1:17" x14ac:dyDescent="0.35">
      <c r="A94" s="2" t="s">
        <v>47</v>
      </c>
      <c r="B94" s="2" t="s">
        <v>113</v>
      </c>
      <c r="C94" s="56">
        <f>outputs!K36</f>
        <v>28.160019772158385</v>
      </c>
      <c r="D94">
        <f>'input data'!B$65</f>
        <v>1.9E-2</v>
      </c>
      <c r="E94">
        <f t="shared" si="5"/>
        <v>364.55725213169978</v>
      </c>
      <c r="F94">
        <f>outputs!Q48</f>
        <v>208.41650205761326</v>
      </c>
      <c r="G94">
        <f>'input data'!$B$65</f>
        <v>1.9E-2</v>
      </c>
      <c r="H94">
        <f t="shared" si="6"/>
        <v>2698.142540515717</v>
      </c>
      <c r="I94">
        <f t="shared" si="7"/>
        <v>0.13511415600082385</v>
      </c>
      <c r="K94" s="5">
        <f>outputs!O36</f>
        <v>3.6740197721583741</v>
      </c>
      <c r="L94">
        <f>'input data'!$B$65</f>
        <v>1.9E-2</v>
      </c>
      <c r="M94">
        <f t="shared" si="4"/>
        <v>47.563551561843596</v>
      </c>
      <c r="N94">
        <f>outputs!Q48</f>
        <v>208.41650205761326</v>
      </c>
      <c r="O94">
        <f>'input data'!$B$65</f>
        <v>1.9E-2</v>
      </c>
      <c r="P94">
        <f t="shared" si="8"/>
        <v>2698.142540515717</v>
      </c>
      <c r="Q94">
        <f t="shared" si="9"/>
        <v>1.7628257531847227E-2</v>
      </c>
    </row>
    <row r="95" spans="1:17" x14ac:dyDescent="0.35">
      <c r="A95" s="2"/>
      <c r="B95" s="2" t="s">
        <v>114</v>
      </c>
      <c r="C95" s="56">
        <f>outputs!K37</f>
        <v>113.14609921032546</v>
      </c>
      <c r="D95">
        <f>'input data'!B$65</f>
        <v>1.9E-2</v>
      </c>
      <c r="E95">
        <f t="shared" si="5"/>
        <v>1464.7799025453378</v>
      </c>
      <c r="F95">
        <f>outputs!Q49</f>
        <v>994.65234413897667</v>
      </c>
      <c r="G95">
        <f>'input data'!$B$65</f>
        <v>1.9E-2</v>
      </c>
      <c r="H95">
        <f t="shared" si="6"/>
        <v>12876.685753046484</v>
      </c>
      <c r="I95">
        <f t="shared" si="7"/>
        <v>0.11375441869417266</v>
      </c>
      <c r="K95" s="5">
        <f>outputs!O37</f>
        <v>14.762099210325474</v>
      </c>
      <c r="L95">
        <f>'input data'!$B$65</f>
        <v>1.9E-2</v>
      </c>
      <c r="M95">
        <f t="shared" si="4"/>
        <v>191.10889720086669</v>
      </c>
      <c r="N95">
        <f>outputs!Q49</f>
        <v>994.65234413897667</v>
      </c>
      <c r="O95">
        <f>'input data'!$B$65</f>
        <v>1.9E-2</v>
      </c>
      <c r="P95">
        <f t="shared" si="8"/>
        <v>12876.685753046484</v>
      </c>
      <c r="Q95">
        <f t="shared" si="9"/>
        <v>1.4841466264380368E-2</v>
      </c>
    </row>
    <row r="96" spans="1:17" x14ac:dyDescent="0.35">
      <c r="A96" s="2"/>
      <c r="B96" s="2" t="s">
        <v>129</v>
      </c>
      <c r="C96" s="56">
        <f>outputs!K38</f>
        <v>13.283028194414328</v>
      </c>
      <c r="D96">
        <f>'input data'!B$65</f>
        <v>1.9E-2</v>
      </c>
      <c r="E96">
        <f t="shared" si="5"/>
        <v>171.96096798665076</v>
      </c>
      <c r="F96">
        <f>outputs!Q50</f>
        <v>101.58477830945235</v>
      </c>
      <c r="G96">
        <f>'input data'!$B$65</f>
        <v>1.9E-2</v>
      </c>
      <c r="H96">
        <f t="shared" si="6"/>
        <v>1315.1080126554662</v>
      </c>
      <c r="I96">
        <f t="shared" si="7"/>
        <v>0.13075805662489057</v>
      </c>
      <c r="K96" s="5">
        <f>outputs!O38</f>
        <v>1.7330281944143273</v>
      </c>
      <c r="L96">
        <f>'input data'!$B$65</f>
        <v>1.9E-2</v>
      </c>
      <c r="M96">
        <f t="shared" si="4"/>
        <v>22.435637529171512</v>
      </c>
      <c r="N96">
        <f>outputs!Q50</f>
        <v>101.58477830945235</v>
      </c>
      <c r="O96">
        <f>'input data'!$B$65</f>
        <v>1.9E-2</v>
      </c>
      <c r="P96">
        <f t="shared" si="8"/>
        <v>1315.1080126554662</v>
      </c>
      <c r="Q96">
        <f t="shared" si="9"/>
        <v>1.7059920031868313E-2</v>
      </c>
    </row>
    <row r="97" spans="1:1" x14ac:dyDescent="0.35">
      <c r="A97" s="8"/>
    </row>
    <row r="98" spans="1:1" x14ac:dyDescent="0.35">
      <c r="A98" s="8"/>
    </row>
    <row r="99" spans="1:1" x14ac:dyDescent="0.35">
      <c r="A99" s="8"/>
    </row>
    <row r="100" spans="1:1" x14ac:dyDescent="0.35">
      <c r="A100" s="8"/>
    </row>
    <row r="101" spans="1:1" x14ac:dyDescent="0.35">
      <c r="A101" s="8"/>
    </row>
    <row r="102" spans="1:1" x14ac:dyDescent="0.35">
      <c r="A102" s="8"/>
    </row>
    <row r="103" spans="1:1" x14ac:dyDescent="0.35">
      <c r="A103" s="8"/>
    </row>
    <row r="104" spans="1:1" x14ac:dyDescent="0.35">
      <c r="A104" s="8"/>
    </row>
    <row r="105" spans="1:1" x14ac:dyDescent="0.35">
      <c r="A105" s="8"/>
    </row>
    <row r="106" spans="1:1" x14ac:dyDescent="0.35">
      <c r="A106" s="8"/>
    </row>
    <row r="107" spans="1:1" x14ac:dyDescent="0.35">
      <c r="A107" s="8"/>
    </row>
    <row r="108" spans="1:1" x14ac:dyDescent="0.35">
      <c r="A108" s="8"/>
    </row>
    <row r="109" spans="1:1" x14ac:dyDescent="0.35">
      <c r="A109" s="8"/>
    </row>
    <row r="110" spans="1:1" x14ac:dyDescent="0.35">
      <c r="A110" s="8"/>
    </row>
    <row r="111" spans="1:1" x14ac:dyDescent="0.35">
      <c r="A111" s="8"/>
    </row>
  </sheetData>
  <mergeCells count="1">
    <mergeCell ref="D2:G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assumptions</vt:lpstr>
      <vt:lpstr>input data</vt:lpstr>
      <vt:lpstr>report tables</vt:lpstr>
      <vt:lpstr>outputs</vt:lpstr>
      <vt:lpstr>formulas for outputs</vt:lpstr>
      <vt:lpstr>formulas for supporting values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dc:creator>
  <cp:lastModifiedBy>Heather</cp:lastModifiedBy>
  <dcterms:created xsi:type="dcterms:W3CDTF">2021-08-23T13:47:05Z</dcterms:created>
  <dcterms:modified xsi:type="dcterms:W3CDTF">2021-12-11T15:31:13Z</dcterms:modified>
</cp:coreProperties>
</file>